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elliot\AppData\Local\Microsoft\Windows\INetCache\Content.Outlook\IBKVYBP7\"/>
    </mc:Choice>
  </mc:AlternateContent>
  <workbookProtection workbookAlgorithmName="SHA-512" workbookHashValue="wgRT9G4sBD+QaivswutnuJNNDG9bCMJT4hR8CznwBK7qx+peORzlDUXpiIJPIa7Cy5IDjTv+VPx2JxTXF44vHw==" workbookSaltValue="NKHcgtHDqjeST2NW2E74TA==" workbookSpinCount="100000" lockStructure="1"/>
  <bookViews>
    <workbookView xWindow="0" yWindow="0" windowWidth="28800" windowHeight="12210"/>
  </bookViews>
  <sheets>
    <sheet name="Contract Amount Calc - School" sheetId="1" r:id="rId1"/>
    <sheet name="Maximum Capital Rates - School" sheetId="2" r:id="rId2"/>
    <sheet name="Sheet1" sheetId="4" state="hidden" r:id="rId3"/>
    <sheet name="_SSC" sheetId="3" state="veryHidden" r:id="rId4"/>
  </sheets>
  <definedNames>
    <definedName name="_inputcolorcell" hidden="1">'Contract Amount Calc - School'!$E$3</definedName>
    <definedName name="Admin_HourlyRate">Sheet1!$E$74</definedName>
    <definedName name="Bus_Fixed_Costs">Sheet1!$D$43</definedName>
    <definedName name="CompInsMin">'Contract Amount Calc - School'!$D$8</definedName>
    <definedName name="Driver_Sat">'Contract Amount Calc - School'!#REF!</definedName>
    <definedName name="Driver_Weekday">Sheet1!$E$76</definedName>
    <definedName name="GA_Maximum_Age">11</definedName>
    <definedName name="Maximum_Age_Med_Lrg_XLrg">21</definedName>
    <definedName name="Maximum_Age_Med_Lrg_XLrg_Artic">21</definedName>
    <definedName name="MaximumAge_Artic">26</definedName>
    <definedName name="Sml_Maximum_Age">12</definedName>
    <definedName name="Supervisor_HourlyRate">'Contract Amount Calc - School'!#REF!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N5" i="1"/>
  <c r="N4" i="1"/>
  <c r="N3" i="1"/>
  <c r="N7" i="1" l="1"/>
  <c r="N8" i="1"/>
  <c r="H40" i="2" l="1"/>
  <c r="H41" i="2" s="1"/>
  <c r="B40" i="2"/>
  <c r="B41" i="2"/>
  <c r="B42" i="2"/>
  <c r="B43" i="2"/>
  <c r="B44" i="2"/>
  <c r="H42" i="2" l="1"/>
  <c r="K41" i="2"/>
  <c r="K40" i="2"/>
  <c r="K42" i="2" l="1"/>
  <c r="H43" i="2"/>
  <c r="H44" i="2" l="1"/>
  <c r="K44" i="2" s="1"/>
  <c r="K43" i="2"/>
  <c r="W5" i="1" l="1"/>
  <c r="W6" i="1"/>
  <c r="W7" i="1"/>
  <c r="W8" i="1"/>
  <c r="D11" i="2" l="1"/>
  <c r="C53" i="4"/>
  <c r="C56" i="4" s="1"/>
  <c r="T17" i="1" l="1"/>
  <c r="T16" i="1"/>
  <c r="E40" i="2" l="1"/>
  <c r="E41" i="2"/>
  <c r="E42" i="2"/>
  <c r="E43" i="2"/>
  <c r="E44" i="2"/>
  <c r="D40" i="2"/>
  <c r="D41" i="2"/>
  <c r="D42" i="2"/>
  <c r="D43" i="2"/>
  <c r="D44" i="2"/>
  <c r="C40" i="2"/>
  <c r="C41" i="2"/>
  <c r="C42" i="2"/>
  <c r="C43" i="2"/>
  <c r="C44" i="2"/>
  <c r="L44" i="2" l="1"/>
  <c r="N44" i="2" s="1"/>
  <c r="N40" i="2"/>
  <c r="N42" i="2"/>
  <c r="N43" i="2"/>
  <c r="N41" i="2"/>
  <c r="R18" i="1" l="1"/>
  <c r="J4" i="1" l="1"/>
  <c r="W4" i="1" s="1"/>
  <c r="J5" i="1"/>
  <c r="J6" i="1"/>
  <c r="J7" i="1"/>
  <c r="J8" i="1"/>
  <c r="J3" i="1"/>
  <c r="W3" i="1" l="1"/>
  <c r="S3" i="1"/>
  <c r="V6" i="1"/>
  <c r="V4" i="1"/>
  <c r="U4" i="1" s="1"/>
  <c r="S4" i="1" s="1"/>
  <c r="U6" i="1"/>
  <c r="S6" i="1" s="1"/>
  <c r="V5" i="1"/>
  <c r="U5" i="1"/>
  <c r="S5" i="1" s="1"/>
  <c r="T7" i="1"/>
  <c r="T6" i="1"/>
  <c r="T5" i="1"/>
  <c r="T8" i="1"/>
  <c r="T4" i="1"/>
  <c r="T3" i="1" l="1"/>
  <c r="E51" i="2"/>
  <c r="E52" i="2"/>
  <c r="E53" i="2"/>
  <c r="E54" i="2"/>
  <c r="E50" i="2"/>
  <c r="D51" i="2"/>
  <c r="D52" i="2"/>
  <c r="D53" i="2"/>
  <c r="D54" i="2"/>
  <c r="D50" i="2"/>
  <c r="C51" i="2"/>
  <c r="C52" i="2"/>
  <c r="C53" i="2"/>
  <c r="C54" i="2"/>
  <c r="C50" i="2"/>
  <c r="N50" i="2"/>
  <c r="T54" i="2"/>
  <c r="Q54" i="2"/>
  <c r="N51" i="2"/>
  <c r="N52" i="2"/>
  <c r="N53" i="2"/>
  <c r="N54" i="2"/>
  <c r="N39" i="2"/>
  <c r="S43" i="2"/>
  <c r="S40" i="2"/>
  <c r="S41" i="2"/>
  <c r="S42" i="2"/>
  <c r="S44" i="2"/>
  <c r="T44" i="2"/>
  <c r="P40" i="2"/>
  <c r="P41" i="2"/>
  <c r="P42" i="2"/>
  <c r="P43" i="2"/>
  <c r="P44" i="2"/>
  <c r="Q44" i="2"/>
  <c r="C22" i="1" l="1"/>
  <c r="C28" i="1"/>
  <c r="E16" i="1" s="1"/>
  <c r="C1" i="1" l="1"/>
  <c r="U19" i="2"/>
  <c r="V19" i="2" s="1"/>
  <c r="C47" i="4" l="1"/>
  <c r="C58" i="4"/>
  <c r="C15" i="4" l="1"/>
  <c r="D12" i="4"/>
  <c r="H20" i="2" l="1"/>
  <c r="H21" i="2" s="1"/>
  <c r="A20" i="2"/>
  <c r="R19" i="2"/>
  <c r="O19" i="2"/>
  <c r="L19" i="2"/>
  <c r="I19" i="2"/>
  <c r="W18" i="2"/>
  <c r="T18" i="2"/>
  <c r="Q18" i="2"/>
  <c r="N18" i="2"/>
  <c r="K18" i="2"/>
  <c r="F18" i="2"/>
  <c r="E18" i="2"/>
  <c r="D18" i="2"/>
  <c r="C18" i="2"/>
  <c r="B18" i="2"/>
  <c r="B12" i="2"/>
  <c r="B14" i="2" s="1"/>
  <c r="C11" i="2"/>
  <c r="F8" i="2"/>
  <c r="F10" i="2" s="1"/>
  <c r="E8" i="2"/>
  <c r="D8" i="2"/>
  <c r="D19" i="2" s="1"/>
  <c r="C8" i="2"/>
  <c r="B8" i="2"/>
  <c r="B19" i="2" s="1"/>
  <c r="C10" i="2" l="1"/>
  <c r="C19" i="2"/>
  <c r="F19" i="2"/>
  <c r="S19" i="2"/>
  <c r="J19" i="2"/>
  <c r="K19" i="2"/>
  <c r="C20" i="2"/>
  <c r="R20" i="2"/>
  <c r="D20" i="2"/>
  <c r="E20" i="2"/>
  <c r="E10" i="2"/>
  <c r="E19" i="2"/>
  <c r="P19" i="2"/>
  <c r="B10" i="2"/>
  <c r="D10" i="2"/>
  <c r="I20" i="2"/>
  <c r="U20" i="2"/>
  <c r="V20" i="2" s="1"/>
  <c r="B20" i="2"/>
  <c r="J20" i="2"/>
  <c r="O20" i="2"/>
  <c r="H22" i="2"/>
  <c r="C12" i="2"/>
  <c r="C14" i="2" s="1"/>
  <c r="N19" i="2" s="1"/>
  <c r="M19" i="2"/>
  <c r="A21" i="2"/>
  <c r="L20" i="2"/>
  <c r="F20" i="2"/>
  <c r="N20" i="2" l="1"/>
  <c r="S20" i="2"/>
  <c r="P20" i="2"/>
  <c r="E21" i="2"/>
  <c r="R21" i="2"/>
  <c r="C21" i="2"/>
  <c r="D21" i="2"/>
  <c r="K20" i="2"/>
  <c r="M20" i="2"/>
  <c r="J21" i="2"/>
  <c r="U21" i="2"/>
  <c r="O21" i="2"/>
  <c r="I21" i="2"/>
  <c r="A22" i="2"/>
  <c r="B21" i="2"/>
  <c r="L21" i="2"/>
  <c r="F21" i="2"/>
  <c r="D12" i="2"/>
  <c r="D14" i="2" s="1"/>
  <c r="E11" i="2"/>
  <c r="H23" i="2"/>
  <c r="Q19" i="2" l="1"/>
  <c r="V3" i="1"/>
  <c r="U3" i="1" s="1"/>
  <c r="V7" i="1"/>
  <c r="U7" i="1" s="1"/>
  <c r="S7" i="1" s="1"/>
  <c r="V8" i="1"/>
  <c r="U8" i="1" s="1"/>
  <c r="S8" i="1" s="1"/>
  <c r="Q51" i="2"/>
  <c r="Q40" i="2"/>
  <c r="Q41" i="2"/>
  <c r="Q42" i="2"/>
  <c r="Q43" i="2"/>
  <c r="Q53" i="2"/>
  <c r="Q50" i="2"/>
  <c r="Q52" i="2"/>
  <c r="Q21" i="2"/>
  <c r="N21" i="2"/>
  <c r="Q20" i="2"/>
  <c r="S21" i="2"/>
  <c r="D22" i="2"/>
  <c r="C22" i="2"/>
  <c r="R22" i="2"/>
  <c r="E22" i="2"/>
  <c r="K21" i="2"/>
  <c r="V21" i="2"/>
  <c r="M21" i="2"/>
  <c r="E12" i="2"/>
  <c r="E14" i="2" s="1"/>
  <c r="F11" i="2"/>
  <c r="P21" i="2"/>
  <c r="H24" i="2"/>
  <c r="A23" i="2"/>
  <c r="L22" i="2"/>
  <c r="U22" i="2"/>
  <c r="O22" i="2"/>
  <c r="J22" i="2"/>
  <c r="I22" i="2"/>
  <c r="B22" i="2"/>
  <c r="F22" i="2"/>
  <c r="E17" i="1"/>
  <c r="E23" i="1" l="1"/>
  <c r="T50" i="2"/>
  <c r="T43" i="2"/>
  <c r="T51" i="2"/>
  <c r="T40" i="2"/>
  <c r="T53" i="2"/>
  <c r="T42" i="2"/>
  <c r="T41" i="2"/>
  <c r="T52" i="2"/>
  <c r="T19" i="2"/>
  <c r="T20" i="2"/>
  <c r="T21" i="2"/>
  <c r="D23" i="2"/>
  <c r="E23" i="2"/>
  <c r="R23" i="2"/>
  <c r="C23" i="2"/>
  <c r="N22" i="2"/>
  <c r="Q22" i="2"/>
  <c r="S22" i="2"/>
  <c r="T22" i="2"/>
  <c r="P22" i="2"/>
  <c r="J23" i="2"/>
  <c r="O23" i="2"/>
  <c r="Q23" i="2" s="1"/>
  <c r="I23" i="2"/>
  <c r="A24" i="2"/>
  <c r="B23" i="2"/>
  <c r="L23" i="2"/>
  <c r="F23" i="2"/>
  <c r="U23" i="2"/>
  <c r="K22" i="2"/>
  <c r="V22" i="2"/>
  <c r="F12" i="2"/>
  <c r="F14" i="2" s="1"/>
  <c r="H25" i="2"/>
  <c r="M22" i="2"/>
  <c r="F17" i="1"/>
  <c r="N23" i="2" l="1"/>
  <c r="S23" i="2"/>
  <c r="T23" i="2"/>
  <c r="E24" i="2"/>
  <c r="D24" i="2"/>
  <c r="R24" i="2"/>
  <c r="C24" i="2"/>
  <c r="K23" i="2"/>
  <c r="W20" i="2"/>
  <c r="W19" i="2"/>
  <c r="W21" i="2"/>
  <c r="W22" i="2"/>
  <c r="M23" i="2"/>
  <c r="P23" i="2"/>
  <c r="H26" i="2"/>
  <c r="V23" i="2"/>
  <c r="W23" i="2"/>
  <c r="A25" i="2"/>
  <c r="L24" i="2"/>
  <c r="N24" i="2" s="1"/>
  <c r="I24" i="2"/>
  <c r="B24" i="2"/>
  <c r="F24" i="2"/>
  <c r="U24" i="2"/>
  <c r="O24" i="2"/>
  <c r="Q24" i="2" s="1"/>
  <c r="J24" i="2"/>
  <c r="E24" i="1"/>
  <c r="F24" i="1" s="1"/>
  <c r="E25" i="2" l="1"/>
  <c r="R25" i="2"/>
  <c r="D25" i="2"/>
  <c r="C25" i="2"/>
  <c r="S24" i="2"/>
  <c r="T24" i="2"/>
  <c r="K24" i="2"/>
  <c r="P24" i="2"/>
  <c r="M24" i="2"/>
  <c r="V24" i="2"/>
  <c r="W24" i="2"/>
  <c r="J25" i="2"/>
  <c r="A26" i="2"/>
  <c r="B25" i="2"/>
  <c r="L25" i="2"/>
  <c r="F25" i="2"/>
  <c r="U25" i="2"/>
  <c r="O25" i="2"/>
  <c r="Q25" i="2" s="1"/>
  <c r="I25" i="2"/>
  <c r="H27" i="2"/>
  <c r="S25" i="2" l="1"/>
  <c r="T25" i="2"/>
  <c r="N25" i="2"/>
  <c r="D26" i="2"/>
  <c r="C26" i="2"/>
  <c r="R26" i="2"/>
  <c r="E26" i="2"/>
  <c r="P25" i="2"/>
  <c r="M25" i="2"/>
  <c r="H28" i="2"/>
  <c r="V25" i="2"/>
  <c r="W25" i="2"/>
  <c r="A27" i="2"/>
  <c r="L26" i="2"/>
  <c r="N26" i="2" s="1"/>
  <c r="F26" i="2"/>
  <c r="U26" i="2"/>
  <c r="O26" i="2"/>
  <c r="J26" i="2"/>
  <c r="I26" i="2"/>
  <c r="B26" i="2"/>
  <c r="K25" i="2"/>
  <c r="S26" i="2" l="1"/>
  <c r="T26" i="2"/>
  <c r="Q26" i="2"/>
  <c r="D27" i="2"/>
  <c r="C27" i="2"/>
  <c r="E27" i="2"/>
  <c r="R27" i="2"/>
  <c r="P26" i="2"/>
  <c r="K26" i="2"/>
  <c r="V26" i="2"/>
  <c r="W26" i="2"/>
  <c r="H29" i="2"/>
  <c r="M26" i="2"/>
  <c r="J27" i="2"/>
  <c r="L27" i="2"/>
  <c r="N27" i="2" s="1"/>
  <c r="F27" i="2"/>
  <c r="U27" i="2"/>
  <c r="O27" i="2"/>
  <c r="I27" i="2"/>
  <c r="K27" i="2" s="1"/>
  <c r="A28" i="2"/>
  <c r="B27" i="2"/>
  <c r="D18" i="4"/>
  <c r="C48" i="4"/>
  <c r="C50" i="4" s="1"/>
  <c r="B28" i="2" l="1"/>
  <c r="E28" i="2"/>
  <c r="D28" i="2"/>
  <c r="C28" i="2"/>
  <c r="R28" i="2"/>
  <c r="Q27" i="2"/>
  <c r="S27" i="2"/>
  <c r="T27" i="2"/>
  <c r="A29" i="2"/>
  <c r="L28" i="2"/>
  <c r="U28" i="2"/>
  <c r="O28" i="2"/>
  <c r="Q28" i="2" s="1"/>
  <c r="J28" i="2"/>
  <c r="I28" i="2"/>
  <c r="F28" i="2"/>
  <c r="V27" i="2"/>
  <c r="W27" i="2"/>
  <c r="P27" i="2"/>
  <c r="M27" i="2"/>
  <c r="H30" i="2"/>
  <c r="E74" i="4"/>
  <c r="N28" i="2" l="1"/>
  <c r="E29" i="2"/>
  <c r="R29" i="2"/>
  <c r="D29" i="2"/>
  <c r="C29" i="2"/>
  <c r="S28" i="2"/>
  <c r="T28" i="2"/>
  <c r="H31" i="2"/>
  <c r="P28" i="2"/>
  <c r="M28" i="2"/>
  <c r="K28" i="2"/>
  <c r="V28" i="2"/>
  <c r="W28" i="2"/>
  <c r="O29" i="2"/>
  <c r="J29" i="2"/>
  <c r="A30" i="2"/>
  <c r="I29" i="2"/>
  <c r="K29" i="2" s="1"/>
  <c r="U29" i="2"/>
  <c r="B29" i="2"/>
  <c r="L29" i="2"/>
  <c r="N29" i="2" s="1"/>
  <c r="F29" i="2"/>
  <c r="S29" i="2" l="1"/>
  <c r="T29" i="2"/>
  <c r="Q29" i="2"/>
  <c r="D30" i="2"/>
  <c r="C30" i="2"/>
  <c r="R30" i="2"/>
  <c r="E30" i="2"/>
  <c r="P29" i="2"/>
  <c r="K31" i="2"/>
  <c r="H32" i="2"/>
  <c r="V29" i="2"/>
  <c r="W29" i="2"/>
  <c r="U30" i="2"/>
  <c r="I30" i="2"/>
  <c r="K30" i="2" s="1"/>
  <c r="A31" i="2"/>
  <c r="B30" i="2"/>
  <c r="J30" i="2"/>
  <c r="O30" i="2"/>
  <c r="F30" i="2"/>
  <c r="L30" i="2"/>
  <c r="N30" i="2" s="1"/>
  <c r="M29" i="2"/>
  <c r="Q30" i="2" l="1"/>
  <c r="S30" i="2"/>
  <c r="T30" i="2"/>
  <c r="D31" i="2"/>
  <c r="C31" i="2"/>
  <c r="E31" i="2"/>
  <c r="R31" i="2"/>
  <c r="O31" i="2"/>
  <c r="Q31" i="2" s="1"/>
  <c r="F31" i="2"/>
  <c r="B31" i="2"/>
  <c r="A32" i="2"/>
  <c r="I31" i="2"/>
  <c r="U31" i="2"/>
  <c r="L31" i="2"/>
  <c r="N31" i="2" s="1"/>
  <c r="J31" i="2"/>
  <c r="P30" i="2"/>
  <c r="H33" i="2"/>
  <c r="K32" i="2"/>
  <c r="M30" i="2"/>
  <c r="V30" i="2"/>
  <c r="W30" i="2"/>
  <c r="E76" i="4"/>
  <c r="F76" i="4" s="1"/>
  <c r="C55" i="4"/>
  <c r="D50" i="4"/>
  <c r="C33" i="4"/>
  <c r="C32" i="4"/>
  <c r="C16" i="4"/>
  <c r="S31" i="2" l="1"/>
  <c r="T31" i="2"/>
  <c r="E32" i="2"/>
  <c r="D32" i="2"/>
  <c r="C32" i="2"/>
  <c r="R32" i="2"/>
  <c r="D33" i="4"/>
  <c r="D41" i="4" s="1"/>
  <c r="M31" i="2"/>
  <c r="P31" i="2"/>
  <c r="U32" i="2"/>
  <c r="I32" i="2"/>
  <c r="L32" i="2"/>
  <c r="N32" i="2" s="1"/>
  <c r="F32" i="2"/>
  <c r="O32" i="2"/>
  <c r="A33" i="2"/>
  <c r="J32" i="2"/>
  <c r="B32" i="2"/>
  <c r="K33" i="2"/>
  <c r="H34" i="2"/>
  <c r="V31" i="2"/>
  <c r="W31" i="2"/>
  <c r="D16" i="4"/>
  <c r="D21" i="4"/>
  <c r="D60" i="4"/>
  <c r="E18" i="1" s="1"/>
  <c r="F39" i="4" l="1"/>
  <c r="C23" i="1" s="1"/>
  <c r="E33" i="2"/>
  <c r="R33" i="2"/>
  <c r="C33" i="2"/>
  <c r="D33" i="2"/>
  <c r="Q32" i="2"/>
  <c r="S32" i="2"/>
  <c r="T32" i="2"/>
  <c r="C24" i="1"/>
  <c r="P32" i="2"/>
  <c r="O33" i="2"/>
  <c r="F33" i="2"/>
  <c r="B33" i="2"/>
  <c r="L33" i="2"/>
  <c r="U33" i="2"/>
  <c r="A34" i="2"/>
  <c r="J33" i="2"/>
  <c r="I33" i="2"/>
  <c r="K34" i="2"/>
  <c r="H35" i="2"/>
  <c r="M32" i="2"/>
  <c r="V32" i="2"/>
  <c r="W32" i="2"/>
  <c r="D23" i="4"/>
  <c r="D43" i="4" s="1"/>
  <c r="E15" i="1" l="1"/>
  <c r="D34" i="2"/>
  <c r="C34" i="2"/>
  <c r="R34" i="2"/>
  <c r="E34" i="2"/>
  <c r="Q33" i="2"/>
  <c r="S33" i="2"/>
  <c r="T33" i="2"/>
  <c r="N33" i="2"/>
  <c r="K35" i="2"/>
  <c r="H36" i="2"/>
  <c r="V33" i="2"/>
  <c r="W33" i="2"/>
  <c r="P33" i="2"/>
  <c r="M33" i="2"/>
  <c r="U34" i="2"/>
  <c r="I34" i="2"/>
  <c r="O34" i="2"/>
  <c r="Q34" i="2" s="1"/>
  <c r="J34" i="2"/>
  <c r="A35" i="2"/>
  <c r="B34" i="2"/>
  <c r="L34" i="2"/>
  <c r="N34" i="2" s="1"/>
  <c r="F34" i="2"/>
  <c r="E19" i="1" l="1"/>
  <c r="F15" i="1"/>
  <c r="D35" i="2"/>
  <c r="C35" i="2"/>
  <c r="E35" i="2"/>
  <c r="R35" i="2"/>
  <c r="S34" i="2"/>
  <c r="T34" i="2"/>
  <c r="O35" i="2"/>
  <c r="Q35" i="2" s="1"/>
  <c r="F35" i="2"/>
  <c r="B35" i="2"/>
  <c r="U35" i="2"/>
  <c r="J35" i="2"/>
  <c r="I35" i="2"/>
  <c r="A36" i="2"/>
  <c r="L35" i="2"/>
  <c r="N35" i="2" s="1"/>
  <c r="M34" i="2"/>
  <c r="P34" i="2"/>
  <c r="V34" i="2"/>
  <c r="W34" i="2"/>
  <c r="H37" i="2"/>
  <c r="K36" i="2"/>
  <c r="F18" i="1"/>
  <c r="S35" i="2" l="1"/>
  <c r="T35" i="2"/>
  <c r="E36" i="2"/>
  <c r="D36" i="2"/>
  <c r="C36" i="2"/>
  <c r="R36" i="2"/>
  <c r="M35" i="2"/>
  <c r="U36" i="2"/>
  <c r="I36" i="2"/>
  <c r="O36" i="2"/>
  <c r="J36" i="2"/>
  <c r="A37" i="2"/>
  <c r="B36" i="2"/>
  <c r="L36" i="2"/>
  <c r="N36" i="2" s="1"/>
  <c r="F36" i="2"/>
  <c r="P35" i="2"/>
  <c r="V35" i="2"/>
  <c r="W35" i="2"/>
  <c r="K37" i="2"/>
  <c r="H38" i="2"/>
  <c r="Q36" i="2" l="1"/>
  <c r="S36" i="2"/>
  <c r="T36" i="2"/>
  <c r="E37" i="2"/>
  <c r="R37" i="2"/>
  <c r="C37" i="2"/>
  <c r="D37" i="2"/>
  <c r="P36" i="2"/>
  <c r="H39" i="2"/>
  <c r="K38" i="2"/>
  <c r="O37" i="2"/>
  <c r="Q37" i="2" s="1"/>
  <c r="F37" i="2"/>
  <c r="B37" i="2"/>
  <c r="I37" i="2"/>
  <c r="A38" i="2"/>
  <c r="L37" i="2"/>
  <c r="N37" i="2" s="1"/>
  <c r="U37" i="2"/>
  <c r="J37" i="2"/>
  <c r="M36" i="2"/>
  <c r="V36" i="2"/>
  <c r="W36" i="2"/>
  <c r="C25" i="1"/>
  <c r="D38" i="2" l="1"/>
  <c r="C38" i="2"/>
  <c r="R38" i="2"/>
  <c r="E38" i="2"/>
  <c r="S37" i="2"/>
  <c r="T37" i="2"/>
  <c r="U38" i="2"/>
  <c r="I38" i="2"/>
  <c r="A39" i="2"/>
  <c r="B38" i="2"/>
  <c r="L38" i="2"/>
  <c r="N38" i="2" s="1"/>
  <c r="F38" i="2"/>
  <c r="J38" i="2"/>
  <c r="O38" i="2"/>
  <c r="Q38" i="2" s="1"/>
  <c r="V37" i="2"/>
  <c r="W37" i="2"/>
  <c r="P37" i="2"/>
  <c r="M37" i="2"/>
  <c r="K39" i="2"/>
  <c r="C26" i="1"/>
  <c r="S38" i="2" l="1"/>
  <c r="T38" i="2"/>
  <c r="D39" i="2"/>
  <c r="C39" i="2"/>
  <c r="R39" i="2"/>
  <c r="E39" i="2"/>
  <c r="F16" i="1"/>
  <c r="F19" i="1"/>
  <c r="V38" i="2"/>
  <c r="W38" i="2"/>
  <c r="O39" i="2"/>
  <c r="F39" i="2"/>
  <c r="B39" i="2"/>
  <c r="A40" i="2"/>
  <c r="L39" i="2"/>
  <c r="U39" i="2"/>
  <c r="J39" i="2"/>
  <c r="I39" i="2"/>
  <c r="P38" i="2"/>
  <c r="M38" i="2"/>
  <c r="Q39" i="2" l="1"/>
  <c r="S39" i="2"/>
  <c r="T39" i="2"/>
  <c r="E20" i="1"/>
  <c r="F20" i="1" s="1"/>
  <c r="V39" i="2"/>
  <c r="W39" i="2"/>
  <c r="U40" i="2"/>
  <c r="I40" i="2"/>
  <c r="M40" i="2"/>
  <c r="F40" i="2"/>
  <c r="J40" i="2"/>
  <c r="A41" i="2"/>
  <c r="M39" i="2"/>
  <c r="P39" i="2"/>
  <c r="F41" i="2" l="1"/>
  <c r="M41" i="2"/>
  <c r="U41" i="2"/>
  <c r="J41" i="2"/>
  <c r="I41" i="2"/>
  <c r="A42" i="2"/>
  <c r="V40" i="2"/>
  <c r="W40" i="2"/>
  <c r="V41" i="2" l="1"/>
  <c r="W41" i="2"/>
  <c r="U42" i="2"/>
  <c r="I42" i="2"/>
  <c r="J42" i="2"/>
  <c r="F42" i="2"/>
  <c r="A43" i="2"/>
  <c r="M42" i="2"/>
  <c r="F43" i="2" l="1"/>
  <c r="U43" i="2"/>
  <c r="J43" i="2"/>
  <c r="I43" i="2"/>
  <c r="A44" i="2"/>
  <c r="M43" i="2"/>
  <c r="V42" i="2"/>
  <c r="W42" i="2"/>
  <c r="V43" i="2" l="1"/>
  <c r="W43" i="2"/>
  <c r="U44" i="2"/>
  <c r="I44" i="2"/>
  <c r="J44" i="2"/>
  <c r="F44" i="2"/>
  <c r="M44" i="2"/>
  <c r="V44" i="2" l="1"/>
  <c r="W44" i="2"/>
  <c r="E25" i="1" s="1"/>
  <c r="F23" i="1" l="1"/>
  <c r="F25" i="1"/>
</calcChain>
</file>

<file path=xl/comments1.xml><?xml version="1.0" encoding="utf-8"?>
<comments xmlns="http://schemas.openxmlformats.org/spreadsheetml/2006/main">
  <authors>
    <author>Elliot, Craig</author>
  </authors>
  <commentList>
    <comment ref="F2" authorId="0" shapeId="0">
      <text>
        <r>
          <rPr>
            <b/>
            <sz val="9"/>
            <color indexed="81"/>
            <rFont val="Tahoma"/>
            <family val="2"/>
          </rPr>
          <t>TRANSITION ONLY AVAILABLE AT FIRST ISSUE OF PASSENGER SERVICE CONTRACT.</t>
        </r>
        <r>
          <rPr>
            <sz val="9"/>
            <color indexed="81"/>
            <rFont val="Tahoma"/>
            <family val="2"/>
          </rPr>
          <t xml:space="preserve">
YES, If this was an Approved Vehicle on a New Service Contract (NSC).
NO, if new to a Passenger Service Contract.</t>
        </r>
      </text>
    </comment>
    <comment ref="H2" authorId="0" shapeId="0">
      <text>
        <r>
          <rPr>
            <sz val="9"/>
            <color indexed="81"/>
            <rFont val="Tahoma"/>
            <family val="2"/>
          </rPr>
          <t xml:space="preserve">Enter the current Capital Payment (ex GST) for the Approved Vehicle. You will find this on the current Schedule 4 if the vehicle is used to provide a Rural School Bus Service or on the Schedule 9 where the vehicle is used to provide a fare paying service, e.g. Urban Fringe Student Only.
</t>
        </r>
      </text>
    </comment>
    <comment ref="M2" authorId="0" shapeId="0">
      <text>
        <r>
          <rPr>
            <sz val="9"/>
            <color indexed="81"/>
            <rFont val="Tahoma"/>
            <family val="2"/>
          </rPr>
          <t xml:space="preserve">This is the value (in whole $) of the Approved Vehicle that was declared when you became the Registered Operator for the purpose of vehicle registration.
</t>
        </r>
        <r>
          <rPr>
            <sz val="9"/>
            <color indexed="10"/>
            <rFont val="Tahoma"/>
            <family val="2"/>
          </rPr>
          <t xml:space="preserve">Note: A Value cannot be entered that is higher than the Capped Entry Value for the Approved Vehicle Size and Age. </t>
        </r>
        <r>
          <rPr>
            <b/>
            <sz val="9"/>
            <color indexed="10"/>
            <rFont val="Tahoma"/>
            <family val="2"/>
          </rPr>
          <t xml:space="preserve">This amount is exclusive of the Refurbishment Allowance. </t>
        </r>
        <r>
          <rPr>
            <sz val="9"/>
            <color indexed="10"/>
            <rFont val="Tahoma"/>
            <family val="2"/>
          </rPr>
          <t xml:space="preserve">If the Approved Vehicle has a higher Value, please enter the Capped Entry Value for the Vehicle Size &amp; Age or if the Approved Vehicle is being transitioned the cap is $200,000 </t>
        </r>
      </text>
    </comment>
    <comment ref="R2" authorId="0" shapeId="0">
      <text>
        <r>
          <rPr>
            <sz val="9"/>
            <color indexed="81"/>
            <rFont val="Tahoma"/>
            <family val="2"/>
          </rPr>
          <t xml:space="preserve">Allowance is not available for Small or Transition vehicles and is capped at $20,000 for all other  vehicles. Claims for Additional Refurbishment must be supported by invoices from a 3rd Party  </t>
        </r>
      </text>
    </comment>
  </commentList>
</comments>
</file>

<file path=xl/sharedStrings.xml><?xml version="1.0" encoding="utf-8"?>
<sst xmlns="http://schemas.openxmlformats.org/spreadsheetml/2006/main" count="234" uniqueCount="175">
  <si>
    <t>Operator's Margin</t>
  </si>
  <si>
    <t>Wage on-costs</t>
  </si>
  <si>
    <t xml:space="preserve"> Long Service Leave </t>
  </si>
  <si>
    <t xml:space="preserve"> Superanuation</t>
  </si>
  <si>
    <t xml:space="preserve"> Workers Compensation</t>
  </si>
  <si>
    <t>NO</t>
  </si>
  <si>
    <t>Base</t>
  </si>
  <si>
    <t>With On Costs</t>
  </si>
  <si>
    <t>Admin - Casual rate, Level 4 Clerk - Clerks Private Sector Award 2010</t>
  </si>
  <si>
    <t>Inputs</t>
  </si>
  <si>
    <t>Costs (Ex GST)</t>
  </si>
  <si>
    <t>Fixed Bus Costs</t>
  </si>
  <si>
    <t xml:space="preserve">   Registration</t>
  </si>
  <si>
    <t xml:space="preserve">   MAIB</t>
  </si>
  <si>
    <t xml:space="preserve">   Comprehensive ins (Approved Vehicles)</t>
  </si>
  <si>
    <t xml:space="preserve">   Vehicle Inspection fees</t>
  </si>
  <si>
    <t>CCTV costs</t>
  </si>
  <si>
    <t xml:space="preserve">    Maint cost per bus</t>
  </si>
  <si>
    <t xml:space="preserve"> Communication Allowance (Bus to Base)</t>
  </si>
  <si>
    <t>Bus cleaning</t>
  </si>
  <si>
    <t xml:space="preserve">     Consumables/bus</t>
  </si>
  <si>
    <t xml:space="preserve">     Driver hours (cleaning)</t>
  </si>
  <si>
    <t xml:space="preserve">         Number of weeks</t>
  </si>
  <si>
    <t xml:space="preserve">         Hours per week/bus</t>
  </si>
  <si>
    <t xml:space="preserve">     Number hours</t>
  </si>
  <si>
    <t>Fire safety inspection</t>
  </si>
  <si>
    <t>Depot/garaging costs</t>
  </si>
  <si>
    <t>Training hours pa.</t>
  </si>
  <si>
    <t>Total Vehicle Fixed Costs</t>
  </si>
  <si>
    <t>Administration Costs</t>
  </si>
  <si>
    <t>Public Liability $20m</t>
  </si>
  <si>
    <t>Hours Per week</t>
  </si>
  <si>
    <t>Weeks Per Year</t>
  </si>
  <si>
    <t>Hours per year</t>
  </si>
  <si>
    <t>Hourly Rate</t>
  </si>
  <si>
    <t>Admin Wages</t>
  </si>
  <si>
    <t xml:space="preserve"> Bank &amp; Cash Handling </t>
  </si>
  <si>
    <t xml:space="preserve"> Admin Consumables</t>
  </si>
  <si>
    <t xml:space="preserve"> Office Equpt. &amp; Maintenance</t>
  </si>
  <si>
    <t xml:space="preserve"> Communication Allowance (Office)</t>
  </si>
  <si>
    <t>Total Administration Costs</t>
  </si>
  <si>
    <t>Total Fixed Costs Per Bus</t>
  </si>
  <si>
    <t>$ / Km</t>
  </si>
  <si>
    <t>Fuel Consumption per (l/km)</t>
  </si>
  <si>
    <t>Fuel Cost per litre</t>
  </si>
  <si>
    <t>Diesel Fuel Rebate</t>
  </si>
  <si>
    <t>Fuel cost per km</t>
  </si>
  <si>
    <t>DEF (AdBlue)</t>
  </si>
  <si>
    <t>Portion Fleet AdBlue</t>
  </si>
  <si>
    <t>Ad Blue Cost per litre</t>
  </si>
  <si>
    <t>Ad Blue Consumption per km</t>
  </si>
  <si>
    <t>Ad blue Cost per KM</t>
  </si>
  <si>
    <t xml:space="preserve"> Other Variable Operating Costs (per/km)</t>
  </si>
  <si>
    <t>Total Cost per KM</t>
  </si>
  <si>
    <t xml:space="preserve">  Weekday </t>
  </si>
  <si>
    <t xml:space="preserve">Driver wages (PVTA 2010, Grade 3, Casual)  </t>
  </si>
  <si>
    <t>Training Costs</t>
  </si>
  <si>
    <t xml:space="preserve">Driver Training Costs </t>
  </si>
  <si>
    <t>includes on costs</t>
  </si>
  <si>
    <t>Approved Vehicle Running Costs</t>
  </si>
  <si>
    <t>Shuttle Vehicle Running Costs</t>
  </si>
  <si>
    <t>Cost per Km</t>
  </si>
  <si>
    <t>Accounting Fees</t>
  </si>
  <si>
    <t>Required Bus Size</t>
  </si>
  <si>
    <t>Bus Capital Cost (exc GST)</t>
  </si>
  <si>
    <t>Min Age</t>
  </si>
  <si>
    <t>Maximum Purchase Age</t>
  </si>
  <si>
    <t>Out of Payment Age</t>
  </si>
  <si>
    <t xml:space="preserve">Capped Entry Value (Ex GST) </t>
  </si>
  <si>
    <t>- Refurbishment</t>
  </si>
  <si>
    <t>Capital Allowance</t>
  </si>
  <si>
    <t>Residual Value</t>
  </si>
  <si>
    <t>Annual Decrease in Value</t>
  </si>
  <si>
    <t>Cost of Finance</t>
  </si>
  <si>
    <t>Cost of Equity Capital</t>
  </si>
  <si>
    <t>% Debt Financed</t>
  </si>
  <si>
    <t>Weighted Cost of Capital</t>
  </si>
  <si>
    <t>nper</t>
  </si>
  <si>
    <t>Per Approved Vehicle required to provide the service</t>
  </si>
  <si>
    <t>pre-departure &amp; loading</t>
  </si>
  <si>
    <t>Number of Drivers</t>
  </si>
  <si>
    <t>Number of Approved Vehicles</t>
  </si>
  <si>
    <t>Fuel Region</t>
  </si>
  <si>
    <t>Fuel Step</t>
  </si>
  <si>
    <t>Contract Days</t>
  </si>
  <si>
    <t>Total Daily Shuttle Vehicle Km</t>
  </si>
  <si>
    <t>Loaded Time (Minutes)</t>
  </si>
  <si>
    <t xml:space="preserve">Total Daily Un-Loaded Bus Km </t>
  </si>
  <si>
    <t>Total Daily Loaded Bus Km</t>
  </si>
  <si>
    <t>Driver Wages</t>
  </si>
  <si>
    <t>Variable Running Allowance</t>
  </si>
  <si>
    <t>Large</t>
  </si>
  <si>
    <t>No. Approved Vehicles using DEF?</t>
  </si>
  <si>
    <t>Daily Driver Hours</t>
  </si>
  <si>
    <t>Fixed  Vehicle Allowance</t>
  </si>
  <si>
    <t>Shuttle Vehicle Allowance</t>
  </si>
  <si>
    <t>Reg No.</t>
  </si>
  <si>
    <t>Transition</t>
  </si>
  <si>
    <t>Size</t>
  </si>
  <si>
    <t>Total Annual Service Fee</t>
  </si>
  <si>
    <t>Passenger Service Contract Amounts Calculation</t>
  </si>
  <si>
    <t>Total Annual Capital Allowance</t>
  </si>
  <si>
    <t>Variable Running Allowance Per Km (Bus)</t>
  </si>
  <si>
    <t xml:space="preserve">Shuttle Vehicle Allowance Per Km </t>
  </si>
  <si>
    <t>Year of Manufacture</t>
  </si>
  <si>
    <t>Small</t>
  </si>
  <si>
    <t>Medium</t>
  </si>
  <si>
    <t>X-Large</t>
  </si>
  <si>
    <t>Artic</t>
  </si>
  <si>
    <t xml:space="preserve">   Vehicle Inspection Travel</t>
  </si>
  <si>
    <t>&lt;40Km</t>
  </si>
  <si>
    <t>Current Capital Pmt (ex GST)</t>
  </si>
  <si>
    <t>{"BrowserAndLocation":{"ConversionPath":"C:\\Users\\c-elliot\\Documents\\SpreadsheetConverter","SelectedBrowsers":[]},"SpreadsheetServer":{"Username":"","Password":"","ServerUrl":"","TestUsername":"","TestPassword":""},"ConfigureSubmitDefault":{"Email":"","Free":false,"Advanced":false,"AdvancedSecured":false,"Demo":true},"MessageBubble":{"Close":false,"TopMsg":0},"CustomizeTheme":{"Theme":"C:\\Users\\user\\AppData\\Roaming\\SpreadsheetConverter\\V8\\SupportFiles\\themes\\bootstrap\\css\\default-ssc-theme.css"},"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Select"},"WizardButton":{"Next":"Next","Previous":"Previous","Cancel":"Cancel","Finish":"Finish"},"ToolbarButton":{"Submit":"Submit","Print":"Print","PrintAll":"Print All","Reset":"Reset","Update":"Update","Back":"Back"},"SubmitDialog":{"SubmitDialogHeading":"Submit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</si>
  <si>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{"IsHide":false,"HiddenInExcel":false,"SheetId":-1,"Name":"Contract Amount Calc - School","Guid":"0C1LR1","Index":1,"VisibleRange":"","SheetTheme":{"TabColor":"","BodyColor":"","BodyImage":""}}</t>
  </si>
  <si>
    <t>Annual capital payments to be paid in this year (until out of payment age at same value)</t>
  </si>
  <si>
    <t xml:space="preserve">Plus Margin </t>
  </si>
  <si>
    <t>_Ctrl_1</t>
  </si>
  <si>
    <t>{"InputDetection":1,"RecalcMode":1,"Layout":0,"LayoutSamePagesHeightEnabled":false,"Theme":{"BgColor":"#FFFFFFFF","BgImage":"","InputBorderStyle":2,"AppliedTheme":""},"SmartphoneSettings":{"ViewportLock":true,"UseOldViewEngine":false,"EnableZoom":false,"EnableSwipe":false,"HideToolbar":false,"InheritBackgroundColor":false,"CheckboxFlavor":1,"ShowBubble":false},"Name":"Contract Amount Calculator - School Bus Services ","Flavor":0,"Edition":3,"CopyProtect":{"IsEnabled":false,"DomainName":""},"HideSscPoweredlogo":false,"AspnetConfig":{"BrowseUrl":"http://localhost/ssc","FileExtension":0},"NodeSecureLoginEnabled":false,"SmartphoneTheme":1,"Toolbar":{"Position":1,"IsSubmit":true,"IsPrint":true,"IsPrintAll":false,"IsReset":true,"IsUpdate":true},"ConfigureSubmit":{"IsShowCaptcha":false,"IsUseSscWebServer":true,"ReceiverCode":"","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true,"BrowserStorageEnabled":false,"RealtimeSyncEnabled":false,"GoogleAnalyticsTrackingId":"","GoogleApiKey":"","ChartSelected":3,"ChartYAxisFixed":false}</t>
  </si>
  <si>
    <t>Tier 2</t>
  </si>
  <si>
    <t xml:space="preserve">Capped Entry Value for Bus Size and Bus Age  </t>
  </si>
  <si>
    <t>Please Select</t>
  </si>
  <si>
    <t>Depot?</t>
  </si>
  <si>
    <t>Bus Details</t>
  </si>
  <si>
    <t>Service Details</t>
  </si>
  <si>
    <t>Shuttle Vehicle Used?</t>
  </si>
  <si>
    <t>Diesel Exhaust Fluid (DEF) Required for Approved Vehicles?</t>
  </si>
  <si>
    <t>Distance to Nearest Inspection Station</t>
  </si>
  <si>
    <t>Driver Time Per Hr (Inc. On-Costs)</t>
  </si>
  <si>
    <t>NOTE: These are provisional figures for bus capital allowance only and are subject to change prior to offer of Passenger Service Contract</t>
  </si>
  <si>
    <t xml:space="preserve">   4 Hour Driver Engagement Declaration Provided?</t>
  </si>
  <si>
    <t>Driver Waiting Time (Minutes)</t>
  </si>
  <si>
    <t xml:space="preserve">NOTE: These are provisional allowance rates only (effective July 2018) and are subject to change prior to offer of a Passenger Service Contract. </t>
  </si>
  <si>
    <t>Annual Capital Allowance</t>
  </si>
  <si>
    <t>Annual Service Fee</t>
  </si>
  <si>
    <t>GST Exclusive</t>
  </si>
  <si>
    <t>GST Inclusive</t>
  </si>
  <si>
    <t xml:space="preserve">Capital Pmt </t>
  </si>
  <si>
    <t xml:space="preserve">Contract Amount </t>
  </si>
  <si>
    <t xml:space="preserve">Total Other Annual Capital Allowances </t>
  </si>
  <si>
    <t xml:space="preserve">Other Annual Capital Allowance </t>
  </si>
  <si>
    <t>Bus Age when added as Approved Vehicle</t>
  </si>
  <si>
    <t>Capital Investment Incentive (Medium &amp; Above)</t>
  </si>
  <si>
    <t xml:space="preserve">Bus Age when added as Approved Vehicle </t>
  </si>
  <si>
    <t>Extra Refurb Allowance Claim</t>
  </si>
  <si>
    <t>Passenger Service Type</t>
  </si>
  <si>
    <t>Wheelchair Lift</t>
  </si>
  <si>
    <t>{"IsHide":false,"HiddenInExcel":false,"SheetId":-1,"Name":"Capital - School","Guid":"88RPX6","Index":2,"VisibleRange":"","SheetTheme":{"TabColor":"","BodyColor":"","BodyImage":""}}</t>
  </si>
  <si>
    <t>{"IsHide":false,"HiddenInExcel":false,"SheetId":-1,"Name":"Sheet1","Guid":"VLMUVR","Index":4,"VisibleRange":"","SheetTheme":{"TabColor":"","BodyColor":"","BodyImage":""}}</t>
  </si>
  <si>
    <t>{"IsHide":false,"HiddenInExcel":false,"SheetId":-1,"Name":"Sheet3","Guid":"75HAC1","Index":3,"VisibleRange":"","SheetTheme":{"TabColor":"","BodyColor":"","BodyImage":""}}</t>
  </si>
  <si>
    <t>Wheelchair Lift Cost</t>
  </si>
  <si>
    <t>Automated Washing Facilities</t>
  </si>
  <si>
    <t xml:space="preserve">CCTV?  </t>
  </si>
  <si>
    <t>Other Vehicle Operating Costs Step</t>
  </si>
  <si>
    <t xml:space="preserve"> Age </t>
  </si>
  <si>
    <t>0 payments of</t>
  </si>
  <si>
    <t>Average speed (Loaded)</t>
  </si>
  <si>
    <t>3 for 2 seating (New Small Bus only)</t>
  </si>
  <si>
    <t>Transition or Novation Age = 21</t>
  </si>
  <si>
    <t>Transition or Novation Age = 22</t>
  </si>
  <si>
    <t xml:space="preserve"> Novation age = 23</t>
  </si>
  <si>
    <t xml:space="preserve"> Novation age = 24</t>
  </si>
  <si>
    <t xml:space="preserve"> Novation age = 25</t>
  </si>
  <si>
    <t>Transition &amp; Novation</t>
  </si>
  <si>
    <t>Calculation Type</t>
  </si>
  <si>
    <t>Bus Size</t>
  </si>
  <si>
    <t>Year of Purchase</t>
  </si>
  <si>
    <t>Previous Contract Type (Transition Vehicles Only)</t>
  </si>
  <si>
    <t>Bus Value (ex GST)</t>
  </si>
  <si>
    <t>Bus Value for comp insurance</t>
  </si>
  <si>
    <t>Bus Value Adjustment Calculator - Use for non-transition vehicles where date of purchase is &gt; 6 months</t>
  </si>
  <si>
    <t>Original purchase price (ex GST)</t>
  </si>
  <si>
    <t>Adjusted Bus Value</t>
  </si>
  <si>
    <t>Normal</t>
  </si>
  <si>
    <t>School Bus Service</t>
  </si>
  <si>
    <t>Correct as @ 12 Nov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</si>
</sst>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Red]\-&quot;$&quot;#,##0.00"/>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quot;$&quot;#,##0.00"/>
    <numFmt numFmtId="169" formatCode="0.0%"/>
    <numFmt numFmtId="170" formatCode="&quot;$&quot;#,##0"/>
    <numFmt numFmtId="171" formatCode="&quot;$&quot;#,##0.000"/>
    <numFmt numFmtId="172" formatCode="&quot;$&quot;#,##0.0000"/>
    <numFmt numFmtId="173" formatCode="_-* #,##0_-;\-* #,##0_-;_-* &quot;-&quot;??_-;_-@_-"/>
    <numFmt numFmtId="174" formatCode="_(&quot;$&quot;* #,##0_);_(&quot;$&quot;* \(#,##0\);_(&quot;$&quot;* &quot;-&quot;??_);_(@_)"/>
    <numFmt numFmtId="175" formatCode="0.00000%"/>
    <numFmt numFmtId="176" formatCode="&quot;$&quot;#,##0.00;[Red]&quot;$&quot;#,##0.00"/>
    <numFmt numFmtId="177" formatCode="#,##0.0"/>
  </numFmts>
  <fonts count="3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0"/>
      <name val="Arial"/>
      <family val="2"/>
    </font>
    <font>
      <sz val="10"/>
      <color rgb="FF7030A0"/>
      <name val="Arial"/>
      <family val="2"/>
    </font>
    <font>
      <i/>
      <sz val="10"/>
      <name val="Arial"/>
      <family val="2"/>
    </font>
    <font>
      <b/>
      <sz val="10"/>
      <name val="Arial"/>
      <family val="2"/>
    </font>
    <font>
      <sz val="9"/>
      <name val="Gill Sans MT"/>
      <family val="2"/>
    </font>
    <font>
      <b/>
      <sz val="11"/>
      <name val="Arial"/>
      <family val="2"/>
    </font>
    <font>
      <sz val="12"/>
      <color theme="1"/>
      <name val="Calibri"/>
      <family val="2"/>
      <scheme val="minor"/>
    </font>
    <font>
      <sz val="10"/>
      <color theme="1"/>
      <name val="Arial"/>
      <family val="2"/>
    </font>
    <font>
      <sz val="11"/>
      <color theme="4" tint="-0.249977111117893"/>
      <name val="Calibri"/>
      <family val="2"/>
      <scheme val="minor"/>
    </font>
    <font>
      <b/>
      <sz val="11"/>
      <color theme="4" tint="-0.249977111117893"/>
      <name val="Calibri"/>
      <family val="2"/>
      <scheme val="minor"/>
    </font>
    <font>
      <sz val="8"/>
      <name val="Arial"/>
      <family val="2"/>
    </font>
    <font>
      <b/>
      <sz val="12"/>
      <color theme="1"/>
      <name val="Arial"/>
      <family val="2"/>
    </font>
    <font>
      <b/>
      <i/>
      <sz val="10"/>
      <color theme="4" tint="-0.249977111117893"/>
      <name val="Arial"/>
      <family val="2"/>
    </font>
    <font>
      <b/>
      <sz val="12"/>
      <color theme="1"/>
      <name val="Calibri"/>
      <family val="2"/>
      <scheme val="minor"/>
    </font>
    <font>
      <sz val="9"/>
      <color indexed="81"/>
      <name val="Tahoma"/>
      <family val="2"/>
    </font>
    <font>
      <b/>
      <sz val="13"/>
      <color theme="1"/>
      <name val="Calibri"/>
      <family val="2"/>
      <scheme val="minor"/>
    </font>
    <font>
      <b/>
      <sz val="11"/>
      <color theme="6" tint="-0.249977111117893"/>
      <name val="Calibri"/>
      <family val="2"/>
      <scheme val="minor"/>
    </font>
    <font>
      <sz val="11"/>
      <name val="Calibri"/>
      <family val="2"/>
      <scheme val="minor"/>
    </font>
    <font>
      <sz val="9"/>
      <color indexed="10"/>
      <name val="Tahoma"/>
      <family val="2"/>
    </font>
    <font>
      <b/>
      <sz val="11"/>
      <color theme="4" tint="-0.499984740745262"/>
      <name val="Calibri"/>
      <family val="2"/>
      <scheme val="minor"/>
    </font>
    <font>
      <b/>
      <sz val="9"/>
      <color indexed="81"/>
      <name val="Tahoma"/>
      <family val="2"/>
    </font>
    <font>
      <b/>
      <sz val="11"/>
      <name val="Calibri"/>
      <family val="2"/>
      <scheme val="minor"/>
    </font>
    <font>
      <b/>
      <sz val="12"/>
      <name val="Calibri"/>
      <family val="2"/>
      <scheme val="minor"/>
    </font>
    <font>
      <b/>
      <sz val="9"/>
      <color indexed="10"/>
      <name val="Tahoma"/>
      <family val="2"/>
    </font>
    <font>
      <b/>
      <sz val="10"/>
      <color theme="4" tint="-0.499984740745262"/>
      <name val="Calibri"/>
      <family val="2"/>
      <scheme val="minor"/>
    </font>
    <font>
      <sz val="12"/>
      <color rgb="FFFF0000"/>
      <name val="Calibri"/>
      <family val="2"/>
      <scheme val="minor"/>
    </font>
    <font>
      <sz val="10"/>
      <color rgb="FFFF0000"/>
      <name val="Arial"/>
      <family val="2"/>
    </font>
    <font>
      <b/>
      <sz val="12"/>
      <color theme="4" tint="-0.249977111117893"/>
      <name val="Calibri"/>
      <family val="2"/>
      <scheme val="minor"/>
    </font>
    <font>
      <sz val="12"/>
      <color theme="4" tint="-0.249977111117893"/>
      <name val="Calibri"/>
      <family val="2"/>
      <scheme val="minor"/>
    </font>
    <font>
      <sz val="11"/>
      <color theme="0" tint="-4.9989318521683403E-2"/>
      <name val="Calibri"/>
      <family val="2"/>
      <scheme val="minor"/>
    </font>
    <font>
      <sz val="8"/>
      <color theme="4"/>
      <name val="Calibri"/>
      <family val="2"/>
      <scheme val="minor"/>
    </font>
    <font>
      <sz val="12"/>
      <color theme="0"/>
      <name val="Calibri"/>
      <family val="2"/>
      <scheme val="minor"/>
    </font>
    <font>
      <sz val="10"/>
      <color theme="0"/>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14999847407452621"/>
        <bgColor indexed="64"/>
      </patternFill>
    </fill>
  </fills>
  <borders count="23">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1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280">
    <xf numFmtId="0" fontId="0" fillId="0" borderId="0" xfId="0"/>
    <xf numFmtId="0" fontId="0" fillId="0" borderId="0" xfId="0" applyFill="1"/>
    <xf numFmtId="168" fontId="0" fillId="0" borderId="0" xfId="0" applyNumberFormat="1" applyFill="1" applyAlignment="1">
      <alignment horizontal="center"/>
    </xf>
    <xf numFmtId="168" fontId="0" fillId="0" borderId="0" xfId="0" applyNumberFormat="1" applyFill="1"/>
    <xf numFmtId="0" fontId="5" fillId="0" borderId="0" xfId="0" applyFont="1" applyFill="1"/>
    <xf numFmtId="0" fontId="5" fillId="0" borderId="0" xfId="0" applyFont="1" applyFill="1" applyAlignment="1">
      <alignment horizontal="left" indent="1"/>
    </xf>
    <xf numFmtId="0" fontId="5" fillId="0" borderId="0" xfId="0" applyFont="1" applyFill="1" applyAlignment="1">
      <alignment horizontal="left"/>
    </xf>
    <xf numFmtId="169" fontId="0" fillId="0" borderId="1" xfId="0" applyNumberFormat="1" applyFill="1" applyBorder="1"/>
    <xf numFmtId="9" fontId="0" fillId="0" borderId="0" xfId="0" applyNumberFormat="1" applyFill="1" applyBorder="1"/>
    <xf numFmtId="0" fontId="7" fillId="0" borderId="0" xfId="0" applyFont="1" applyFill="1"/>
    <xf numFmtId="10" fontId="0" fillId="0" borderId="0" xfId="0" applyNumberFormat="1" applyFill="1"/>
    <xf numFmtId="168" fontId="5" fillId="0" borderId="0" xfId="0" applyNumberFormat="1" applyFont="1" applyFill="1" applyAlignment="1">
      <alignment horizontal="center"/>
    </xf>
    <xf numFmtId="168" fontId="5" fillId="0" borderId="0" xfId="0" applyNumberFormat="1" applyFont="1" applyFill="1"/>
    <xf numFmtId="168" fontId="6" fillId="0" borderId="0" xfId="0" applyNumberFormat="1" applyFont="1" applyFill="1"/>
    <xf numFmtId="0" fontId="8" fillId="0" borderId="0" xfId="0" applyFont="1" applyFill="1"/>
    <xf numFmtId="168" fontId="4" fillId="4" borderId="0" xfId="0" applyNumberFormat="1" applyFont="1" applyFill="1"/>
    <xf numFmtId="170" fontId="0" fillId="0" borderId="0" xfId="0" applyNumberFormat="1" applyFill="1"/>
    <xf numFmtId="9" fontId="0" fillId="0" borderId="0" xfId="0" applyNumberFormat="1" applyFill="1"/>
    <xf numFmtId="164" fontId="5" fillId="0" borderId="0" xfId="0" applyNumberFormat="1" applyFont="1" applyFill="1"/>
    <xf numFmtId="0" fontId="0" fillId="0" borderId="0" xfId="0" applyFont="1" applyFill="1"/>
    <xf numFmtId="0" fontId="9" fillId="0" borderId="0" xfId="0" applyFont="1"/>
    <xf numFmtId="9" fontId="0" fillId="0" borderId="0" xfId="1" applyFont="1" applyFill="1"/>
    <xf numFmtId="0" fontId="5" fillId="0" borderId="0" xfId="0" applyFont="1" applyFill="1" applyBorder="1"/>
    <xf numFmtId="0" fontId="10" fillId="0" borderId="0" xfId="0" applyFont="1" applyFill="1"/>
    <xf numFmtId="1" fontId="0" fillId="0" borderId="0" xfId="0" applyNumberFormat="1" applyFill="1"/>
    <xf numFmtId="0" fontId="3" fillId="0" borderId="0" xfId="3" applyFill="1"/>
    <xf numFmtId="168" fontId="8" fillId="0" borderId="0" xfId="0" applyNumberFormat="1" applyFont="1" applyFill="1" applyAlignment="1">
      <alignment horizontal="center"/>
    </xf>
    <xf numFmtId="0" fontId="0" fillId="0" borderId="0" xfId="0" applyFill="1" applyAlignment="1">
      <alignment horizontal="right"/>
    </xf>
    <xf numFmtId="0" fontId="6" fillId="0" borderId="0" xfId="0" applyNumberFormat="1" applyFont="1" applyFill="1" applyAlignment="1">
      <alignment horizontal="right"/>
    </xf>
    <xf numFmtId="168" fontId="5" fillId="0" borderId="0" xfId="0" applyNumberFormat="1" applyFont="1" applyFill="1" applyAlignment="1">
      <alignment horizontal="right"/>
    </xf>
    <xf numFmtId="171" fontId="5" fillId="0" borderId="0" xfId="0" applyNumberFormat="1" applyFont="1" applyFill="1" applyAlignment="1">
      <alignment horizontal="right"/>
    </xf>
    <xf numFmtId="171" fontId="6" fillId="0" borderId="3" xfId="0" applyNumberFormat="1" applyFont="1" applyFill="1" applyBorder="1" applyAlignment="1">
      <alignment horizontal="right"/>
    </xf>
    <xf numFmtId="171" fontId="5" fillId="0" borderId="0" xfId="0" applyNumberFormat="1" applyFont="1" applyFill="1" applyAlignment="1">
      <alignment horizontal="center"/>
    </xf>
    <xf numFmtId="0" fontId="5" fillId="0" borderId="0" xfId="0" quotePrefix="1" applyFont="1" applyFill="1"/>
    <xf numFmtId="171" fontId="0" fillId="0" borderId="0" xfId="0" applyNumberFormat="1" applyFill="1" applyAlignment="1">
      <alignment horizontal="center"/>
    </xf>
    <xf numFmtId="165" fontId="0" fillId="0" borderId="0" xfId="0" applyNumberFormat="1" applyFill="1" applyAlignment="1">
      <alignment horizontal="right"/>
    </xf>
    <xf numFmtId="172" fontId="0" fillId="0" borderId="0" xfId="0" applyNumberFormat="1" applyFill="1" applyAlignment="1">
      <alignment horizontal="center"/>
    </xf>
    <xf numFmtId="171" fontId="4" fillId="0" borderId="0" xfId="0" applyNumberFormat="1" applyFont="1" applyFill="1" applyAlignment="1">
      <alignment horizontal="center"/>
    </xf>
    <xf numFmtId="171" fontId="6" fillId="0" borderId="1" xfId="0" applyNumberFormat="1" applyFont="1" applyFill="1" applyBorder="1" applyAlignment="1">
      <alignment horizontal="right"/>
    </xf>
    <xf numFmtId="0" fontId="11" fillId="0" borderId="0" xfId="4" applyBorder="1"/>
    <xf numFmtId="0" fontId="11" fillId="0" borderId="0" xfId="4" applyFill="1" applyBorder="1" applyAlignment="1">
      <alignment horizontal="center"/>
    </xf>
    <xf numFmtId="0" fontId="5" fillId="0" borderId="0" xfId="4" applyFont="1" applyFill="1" applyBorder="1" applyAlignment="1">
      <alignment horizontal="center"/>
    </xf>
    <xf numFmtId="170" fontId="11" fillId="0" borderId="0" xfId="4" applyNumberFormat="1" applyFill="1" applyBorder="1"/>
    <xf numFmtId="173" fontId="12" fillId="0" borderId="0" xfId="5" quotePrefix="1" applyNumberFormat="1" applyFont="1" applyFill="1" applyBorder="1"/>
    <xf numFmtId="0" fontId="11" fillId="0" borderId="0" xfId="4" applyFill="1" applyBorder="1"/>
    <xf numFmtId="0" fontId="5" fillId="5" borderId="0" xfId="0" applyFont="1" applyFill="1"/>
    <xf numFmtId="0" fontId="0" fillId="5" borderId="0" xfId="0" applyFill="1"/>
    <xf numFmtId="171" fontId="6" fillId="0" borderId="0" xfId="0" applyNumberFormat="1" applyFont="1" applyFill="1" applyBorder="1" applyAlignment="1">
      <alignment horizontal="right"/>
    </xf>
    <xf numFmtId="0" fontId="8" fillId="0" borderId="0" xfId="4" applyFont="1"/>
    <xf numFmtId="49" fontId="5" fillId="0" borderId="0" xfId="4" applyNumberFormat="1" applyFont="1"/>
    <xf numFmtId="0" fontId="5" fillId="0" borderId="0" xfId="4" applyFont="1"/>
    <xf numFmtId="0" fontId="11" fillId="0" borderId="0" xfId="4"/>
    <xf numFmtId="0" fontId="11" fillId="0" borderId="0" xfId="4" applyAlignment="1">
      <alignment horizontal="center"/>
    </xf>
    <xf numFmtId="0" fontId="11" fillId="0" borderId="4" xfId="4" applyBorder="1"/>
    <xf numFmtId="0" fontId="8" fillId="0" borderId="5" xfId="4" applyFont="1" applyFill="1" applyBorder="1" applyAlignment="1">
      <alignment horizontal="center"/>
    </xf>
    <xf numFmtId="0" fontId="8" fillId="0" borderId="6" xfId="4" applyFont="1" applyFill="1" applyBorder="1" applyAlignment="1">
      <alignment horizontal="center"/>
    </xf>
    <xf numFmtId="0" fontId="8" fillId="0" borderId="6" xfId="4" applyFont="1" applyBorder="1" applyAlignment="1">
      <alignment horizontal="center" vertical="center"/>
    </xf>
    <xf numFmtId="0" fontId="11" fillId="0" borderId="7" xfId="4" applyBorder="1" applyAlignment="1">
      <alignment horizontal="right"/>
    </xf>
    <xf numFmtId="0" fontId="5" fillId="0" borderId="8" xfId="4" applyFont="1" applyFill="1" applyBorder="1" applyAlignment="1">
      <alignment horizontal="center"/>
    </xf>
    <xf numFmtId="17" fontId="11" fillId="0" borderId="0" xfId="4" applyNumberFormat="1"/>
    <xf numFmtId="17" fontId="11" fillId="0" borderId="0" xfId="4" applyNumberFormat="1" applyAlignment="1">
      <alignment horizontal="center"/>
    </xf>
    <xf numFmtId="164" fontId="11" fillId="0" borderId="0" xfId="4" applyNumberFormat="1"/>
    <xf numFmtId="0" fontId="5" fillId="0" borderId="7" xfId="4" applyFont="1" applyBorder="1" applyAlignment="1">
      <alignment horizontal="right"/>
    </xf>
    <xf numFmtId="174" fontId="5" fillId="0" borderId="8" xfId="7" applyNumberFormat="1" applyFont="1" applyFill="1" applyBorder="1" applyAlignment="1">
      <alignment horizontal="center"/>
    </xf>
    <xf numFmtId="0" fontId="7" fillId="0" borderId="7" xfId="4" quotePrefix="1" applyFont="1" applyBorder="1" applyAlignment="1">
      <alignment horizontal="right"/>
    </xf>
    <xf numFmtId="166" fontId="11" fillId="0" borderId="0" xfId="4" applyNumberFormat="1" applyAlignment="1">
      <alignment horizontal="center"/>
    </xf>
    <xf numFmtId="10" fontId="5" fillId="0" borderId="8" xfId="1" applyNumberFormat="1" applyFont="1" applyFill="1" applyBorder="1" applyAlignment="1">
      <alignment horizontal="center"/>
    </xf>
    <xf numFmtId="174" fontId="11" fillId="0" borderId="0" xfId="4" applyNumberFormat="1"/>
    <xf numFmtId="0" fontId="11" fillId="6" borderId="7" xfId="4" applyFill="1" applyBorder="1" applyAlignment="1">
      <alignment horizontal="right"/>
    </xf>
    <xf numFmtId="9" fontId="5" fillId="0" borderId="8" xfId="1" applyNumberFormat="1" applyFont="1" applyFill="1" applyBorder="1" applyAlignment="1">
      <alignment horizontal="center"/>
    </xf>
    <xf numFmtId="0" fontId="11" fillId="0" borderId="9" xfId="4" applyBorder="1" applyAlignment="1">
      <alignment horizontal="right"/>
    </xf>
    <xf numFmtId="10" fontId="5" fillId="0" borderId="10" xfId="1" applyNumberFormat="1" applyFont="1" applyFill="1" applyBorder="1" applyAlignment="1">
      <alignment horizontal="center"/>
    </xf>
    <xf numFmtId="0" fontId="15" fillId="0" borderId="7" xfId="4" applyFont="1" applyFill="1" applyBorder="1" applyAlignment="1">
      <alignment horizontal="left"/>
    </xf>
    <xf numFmtId="0" fontId="11" fillId="0" borderId="0" xfId="4" applyFill="1"/>
    <xf numFmtId="0" fontId="15" fillId="0" borderId="0" xfId="4" applyFont="1" applyFill="1" applyBorder="1" applyAlignment="1">
      <alignment horizontal="left"/>
    </xf>
    <xf numFmtId="0" fontId="6" fillId="0" borderId="0" xfId="4" applyFont="1"/>
    <xf numFmtId="0" fontId="6" fillId="0" borderId="0" xfId="4" applyFont="1" applyBorder="1" applyAlignment="1">
      <alignment horizontal="center"/>
    </xf>
    <xf numFmtId="0" fontId="16" fillId="0" borderId="0" xfId="4" applyFont="1" applyFill="1" applyBorder="1" applyAlignment="1"/>
    <xf numFmtId="170" fontId="8" fillId="0" borderId="5" xfId="4" applyNumberFormat="1" applyFont="1" applyFill="1" applyBorder="1" applyAlignment="1">
      <alignment horizontal="center"/>
    </xf>
    <xf numFmtId="0" fontId="8" fillId="0" borderId="4" xfId="4" applyFont="1" applyFill="1" applyBorder="1" applyAlignment="1">
      <alignment horizontal="center" wrapText="1"/>
    </xf>
    <xf numFmtId="0" fontId="11" fillId="0" borderId="4" xfId="4" applyFill="1" applyBorder="1" applyAlignment="1">
      <alignment horizontal="center" vertical="top" wrapText="1"/>
    </xf>
    <xf numFmtId="0" fontId="8" fillId="0" borderId="12" xfId="4" applyFont="1" applyFill="1" applyBorder="1" applyAlignment="1">
      <alignment vertical="top"/>
    </xf>
    <xf numFmtId="0" fontId="11" fillId="0" borderId="4" xfId="4" applyFill="1" applyBorder="1" applyAlignment="1">
      <alignment horizontal="center" vertical="top"/>
    </xf>
    <xf numFmtId="0" fontId="8" fillId="0" borderId="5" xfId="4" applyFont="1" applyFill="1" applyBorder="1" applyAlignment="1">
      <alignment vertical="top" wrapText="1"/>
    </xf>
    <xf numFmtId="0" fontId="11" fillId="0" borderId="13" xfId="4" applyBorder="1"/>
    <xf numFmtId="170" fontId="11" fillId="0" borderId="8" xfId="4" applyNumberFormat="1" applyFill="1" applyBorder="1"/>
    <xf numFmtId="0" fontId="11" fillId="0" borderId="7" xfId="4" applyFill="1" applyBorder="1" applyAlignment="1">
      <alignment horizontal="center"/>
    </xf>
    <xf numFmtId="173" fontId="12" fillId="0" borderId="7" xfId="6" quotePrefix="1" applyNumberFormat="1" applyFont="1" applyFill="1" applyBorder="1"/>
    <xf numFmtId="0" fontId="11" fillId="0" borderId="13" xfId="4" applyFill="1" applyBorder="1"/>
    <xf numFmtId="0" fontId="11" fillId="0" borderId="14" xfId="4" applyBorder="1"/>
    <xf numFmtId="0" fontId="5" fillId="0" borderId="11" xfId="4" applyFont="1" applyFill="1" applyBorder="1" applyAlignment="1">
      <alignment horizontal="center"/>
    </xf>
    <xf numFmtId="168" fontId="11" fillId="0" borderId="0" xfId="4" applyNumberFormat="1" applyBorder="1"/>
    <xf numFmtId="0" fontId="11" fillId="0" borderId="0" xfId="4" applyFill="1" applyAlignment="1">
      <alignment horizontal="center"/>
    </xf>
    <xf numFmtId="2" fontId="11" fillId="0" borderId="0" xfId="4" applyNumberFormat="1" applyAlignment="1">
      <alignment horizontal="center"/>
    </xf>
    <xf numFmtId="0" fontId="11" fillId="7" borderId="0" xfId="4" applyFill="1"/>
    <xf numFmtId="0" fontId="11" fillId="7" borderId="0" xfId="4" applyFill="1" applyAlignment="1">
      <alignment horizontal="center"/>
    </xf>
    <xf numFmtId="0" fontId="0" fillId="0" borderId="0" xfId="0" applyAlignment="1">
      <alignment horizontal="left" indent="1"/>
    </xf>
    <xf numFmtId="0" fontId="0" fillId="0" borderId="0" xfId="0" applyAlignment="1"/>
    <xf numFmtId="0" fontId="7" fillId="5" borderId="0" xfId="0" applyFont="1" applyFill="1"/>
    <xf numFmtId="4" fontId="0" fillId="5" borderId="0" xfId="0" applyNumberFormat="1" applyFill="1"/>
    <xf numFmtId="0" fontId="5" fillId="5" borderId="0" xfId="0" applyFont="1" applyFill="1" applyAlignment="1">
      <alignment horizontal="left" indent="1"/>
    </xf>
    <xf numFmtId="3" fontId="0" fillId="5" borderId="0" xfId="0" applyNumberFormat="1" applyFill="1"/>
    <xf numFmtId="168" fontId="0" fillId="5" borderId="0" xfId="0" applyNumberFormat="1" applyFill="1"/>
    <xf numFmtId="170" fontId="0" fillId="5" borderId="0" xfId="0" applyNumberFormat="1" applyFill="1"/>
    <xf numFmtId="0" fontId="8" fillId="5" borderId="0" xfId="0" applyFont="1" applyFill="1"/>
    <xf numFmtId="0" fontId="0" fillId="5" borderId="0" xfId="0" applyFill="1" applyAlignment="1">
      <alignment horizontal="left" indent="1"/>
    </xf>
    <xf numFmtId="0" fontId="6" fillId="5" borderId="0" xfId="0" applyFont="1" applyFill="1"/>
    <xf numFmtId="168" fontId="6" fillId="5" borderId="0" xfId="0" applyNumberFormat="1" applyFont="1" applyFill="1"/>
    <xf numFmtId="2" fontId="5" fillId="5" borderId="0" xfId="0" applyNumberFormat="1" applyFont="1" applyFill="1"/>
    <xf numFmtId="2" fontId="0" fillId="5" borderId="0" xfId="0" applyNumberFormat="1" applyFill="1"/>
    <xf numFmtId="0" fontId="8" fillId="4" borderId="0" xfId="0" applyFont="1" applyFill="1"/>
    <xf numFmtId="0" fontId="0" fillId="4" borderId="0" xfId="0" applyFill="1"/>
    <xf numFmtId="0" fontId="17" fillId="4" borderId="0" xfId="0" applyFont="1" applyFill="1"/>
    <xf numFmtId="168" fontId="14" fillId="4" borderId="0" xfId="0" applyNumberFormat="1" applyFont="1" applyFill="1"/>
    <xf numFmtId="0" fontId="0" fillId="4" borderId="0" xfId="0" applyFill="1" applyAlignment="1">
      <alignment horizontal="center" vertical="center"/>
    </xf>
    <xf numFmtId="0" fontId="4" fillId="4" borderId="0" xfId="0" applyFont="1" applyFill="1" applyAlignment="1">
      <alignment horizontal="center" vertical="center"/>
    </xf>
    <xf numFmtId="168" fontId="13" fillId="4" borderId="0" xfId="0" applyNumberFormat="1" applyFont="1" applyFill="1" applyAlignment="1">
      <alignment horizontal="center" vertical="center"/>
    </xf>
    <xf numFmtId="0" fontId="0" fillId="4" borderId="0" xfId="0" applyFont="1" applyFill="1" applyAlignment="1">
      <alignment horizontal="center" vertical="center"/>
    </xf>
    <xf numFmtId="168" fontId="18" fillId="9" borderId="0" xfId="0" applyNumberFormat="1" applyFont="1" applyFill="1" applyBorder="1" applyAlignment="1">
      <alignment horizontal="left"/>
    </xf>
    <xf numFmtId="0" fontId="17" fillId="10" borderId="18" xfId="0" applyFont="1" applyFill="1" applyBorder="1"/>
    <xf numFmtId="171" fontId="14" fillId="10" borderId="19" xfId="0" applyNumberFormat="1" applyFont="1" applyFill="1" applyBorder="1"/>
    <xf numFmtId="168" fontId="14" fillId="10" borderId="19" xfId="0" applyNumberFormat="1" applyFont="1" applyFill="1" applyBorder="1"/>
    <xf numFmtId="3" fontId="14" fillId="10" borderId="19" xfId="0" applyNumberFormat="1" applyFont="1" applyFill="1" applyBorder="1"/>
    <xf numFmtId="0" fontId="17" fillId="10" borderId="20" xfId="0" applyFont="1" applyFill="1" applyBorder="1"/>
    <xf numFmtId="4" fontId="14" fillId="10" borderId="22" xfId="0" applyNumberFormat="1" applyFont="1" applyFill="1" applyBorder="1"/>
    <xf numFmtId="0" fontId="0" fillId="4" borderId="18" xfId="0" applyFill="1" applyBorder="1"/>
    <xf numFmtId="0" fontId="0" fillId="4" borderId="18" xfId="0" applyFill="1" applyBorder="1" applyAlignment="1">
      <alignment horizontal="left" indent="2"/>
    </xf>
    <xf numFmtId="0" fontId="5" fillId="4" borderId="18" xfId="0" applyFont="1" applyFill="1" applyBorder="1" applyAlignment="1">
      <alignment horizontal="left" indent="2"/>
    </xf>
    <xf numFmtId="0" fontId="5" fillId="4" borderId="18" xfId="0" applyFont="1" applyFill="1" applyBorder="1" applyAlignment="1">
      <alignment horizontal="left"/>
    </xf>
    <xf numFmtId="165" fontId="0" fillId="0" borderId="0" xfId="0" applyNumberFormat="1" applyAlignment="1">
      <alignment vertical="center"/>
    </xf>
    <xf numFmtId="165" fontId="0" fillId="0" borderId="0" xfId="0" applyNumberFormat="1"/>
    <xf numFmtId="10" fontId="6" fillId="0" borderId="0" xfId="0" applyNumberFormat="1" applyFont="1" applyFill="1"/>
    <xf numFmtId="0" fontId="5" fillId="4" borderId="18" xfId="0" applyFont="1" applyFill="1" applyBorder="1"/>
    <xf numFmtId="8" fontId="11" fillId="0" borderId="0" xfId="4" applyNumberFormat="1" applyAlignment="1">
      <alignment horizontal="center"/>
    </xf>
    <xf numFmtId="0" fontId="0" fillId="0" borderId="0" xfId="0" applyAlignment="1">
      <alignment horizontal="left" vertical="center" indent="5"/>
    </xf>
    <xf numFmtId="9" fontId="11" fillId="0" borderId="0" xfId="4" applyNumberFormat="1"/>
    <xf numFmtId="175" fontId="11" fillId="0" borderId="0" xfId="4" applyNumberFormat="1" applyAlignment="1">
      <alignment horizontal="center"/>
    </xf>
    <xf numFmtId="0" fontId="4" fillId="4" borderId="0" xfId="0" applyFont="1" applyFill="1"/>
    <xf numFmtId="0" fontId="0" fillId="8" borderId="19" xfId="0"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168" fontId="0" fillId="8" borderId="0" xfId="0" applyNumberFormat="1" applyFont="1" applyFill="1" applyBorder="1" applyAlignment="1" applyProtection="1">
      <alignment horizontal="center" vertical="center"/>
      <protection locked="0"/>
    </xf>
    <xf numFmtId="170" fontId="0" fillId="8" borderId="0" xfId="0" applyNumberFormat="1" applyFont="1" applyFill="1" applyBorder="1" applyAlignment="1" applyProtection="1">
      <alignment horizontal="center" vertical="center"/>
      <protection locked="0"/>
    </xf>
    <xf numFmtId="168" fontId="18" fillId="9" borderId="18" xfId="0" applyNumberFormat="1" applyFont="1" applyFill="1" applyBorder="1" applyAlignment="1">
      <alignment horizontal="center"/>
    </xf>
    <xf numFmtId="168" fontId="4" fillId="9" borderId="18" xfId="0" applyNumberFormat="1" applyFont="1" applyFill="1" applyBorder="1" applyAlignment="1">
      <alignment horizontal="center"/>
    </xf>
    <xf numFmtId="168" fontId="13" fillId="4" borderId="0" xfId="0" applyNumberFormat="1" applyFont="1" applyFill="1" applyBorder="1" applyAlignment="1">
      <alignment horizontal="center" vertical="center"/>
    </xf>
    <xf numFmtId="168" fontId="4" fillId="9" borderId="18" xfId="0" applyNumberFormat="1" applyFont="1" applyFill="1" applyBorder="1" applyAlignment="1"/>
    <xf numFmtId="168" fontId="4" fillId="9" borderId="0" xfId="0" applyNumberFormat="1" applyFont="1" applyFill="1" applyBorder="1" applyAlignment="1"/>
    <xf numFmtId="168" fontId="18" fillId="11" borderId="20" xfId="0" applyNumberFormat="1" applyFont="1" applyFill="1" applyBorder="1" applyAlignment="1"/>
    <xf numFmtId="168" fontId="18" fillId="11" borderId="21" xfId="0" applyNumberFormat="1" applyFont="1" applyFill="1" applyBorder="1" applyAlignment="1"/>
    <xf numFmtId="168" fontId="0" fillId="9" borderId="0" xfId="0" applyNumberFormat="1" applyFont="1" applyFill="1" applyBorder="1" applyAlignment="1">
      <alignment horizontal="center" vertical="center"/>
    </xf>
    <xf numFmtId="168" fontId="18" fillId="9" borderId="0" xfId="0" applyNumberFormat="1" applyFont="1" applyFill="1" applyBorder="1" applyAlignment="1"/>
    <xf numFmtId="168" fontId="18" fillId="9" borderId="19" xfId="0" applyNumberFormat="1" applyFont="1" applyFill="1" applyBorder="1" applyAlignment="1"/>
    <xf numFmtId="168" fontId="18" fillId="9" borderId="18" xfId="0" applyNumberFormat="1" applyFont="1" applyFill="1" applyBorder="1" applyAlignment="1">
      <alignment horizontal="center" vertical="center"/>
    </xf>
    <xf numFmtId="168" fontId="18" fillId="9" borderId="0" xfId="0" applyNumberFormat="1" applyFont="1" applyFill="1" applyBorder="1" applyAlignment="1">
      <alignment horizontal="center" vertical="center"/>
    </xf>
    <xf numFmtId="8" fontId="4" fillId="9" borderId="18" xfId="0" applyNumberFormat="1" applyFont="1" applyFill="1" applyBorder="1" applyAlignment="1"/>
    <xf numFmtId="8" fontId="4" fillId="9" borderId="0" xfId="0" applyNumberFormat="1" applyFont="1" applyFill="1" applyBorder="1" applyAlignment="1"/>
    <xf numFmtId="0" fontId="8" fillId="0" borderId="6" xfId="4" applyFont="1" applyBorder="1" applyAlignment="1">
      <alignment wrapText="1"/>
    </xf>
    <xf numFmtId="0" fontId="18" fillId="0" borderId="0" xfId="4" applyFont="1" applyBorder="1" applyAlignment="1">
      <alignment wrapText="1"/>
    </xf>
    <xf numFmtId="8" fontId="11" fillId="0" borderId="0" xfId="4" applyNumberFormat="1"/>
    <xf numFmtId="0" fontId="26" fillId="8" borderId="17" xfId="0" applyFont="1" applyFill="1" applyBorder="1" applyAlignment="1" applyProtection="1">
      <alignment horizontal="center" vertical="center" wrapText="1"/>
      <protection locked="0"/>
    </xf>
    <xf numFmtId="0" fontId="22" fillId="4" borderId="18" xfId="0" applyFont="1" applyFill="1" applyBorder="1" applyAlignment="1">
      <alignment vertical="center"/>
    </xf>
    <xf numFmtId="0" fontId="22" fillId="8" borderId="19" xfId="0" applyFont="1" applyFill="1" applyBorder="1" applyAlignment="1" applyProtection="1">
      <alignment horizontal="center" vertical="center"/>
      <protection locked="0"/>
    </xf>
    <xf numFmtId="0" fontId="5" fillId="4" borderId="20" xfId="0" applyFont="1" applyFill="1" applyBorder="1" applyAlignment="1">
      <alignment horizontal="left" indent="1"/>
    </xf>
    <xf numFmtId="0" fontId="0" fillId="8" borderId="22" xfId="0" applyFont="1" applyFill="1" applyBorder="1" applyAlignment="1" applyProtection="1">
      <alignment horizontal="center" vertical="center"/>
      <protection locked="0"/>
    </xf>
    <xf numFmtId="43" fontId="0" fillId="0" borderId="0" xfId="0" applyNumberFormat="1" applyFill="1"/>
    <xf numFmtId="43" fontId="0" fillId="5" borderId="0" xfId="0" applyNumberFormat="1" applyFill="1"/>
    <xf numFmtId="43" fontId="0" fillId="5" borderId="0" xfId="0" applyNumberFormat="1" applyFill="1" applyAlignment="1">
      <alignment horizontal="center"/>
    </xf>
    <xf numFmtId="43" fontId="0" fillId="5" borderId="2" xfId="0" applyNumberFormat="1" applyFill="1" applyBorder="1"/>
    <xf numFmtId="4" fontId="22" fillId="5" borderId="0" xfId="2" applyNumberFormat="1" applyFont="1" applyFill="1" applyBorder="1"/>
    <xf numFmtId="4" fontId="0" fillId="0" borderId="0" xfId="0" applyNumberFormat="1" applyFill="1" applyAlignment="1">
      <alignment horizontal="center"/>
    </xf>
    <xf numFmtId="4" fontId="0" fillId="0" borderId="2" xfId="0" applyNumberFormat="1" applyFill="1" applyBorder="1"/>
    <xf numFmtId="4" fontId="2" fillId="0" borderId="0" xfId="2" applyNumberFormat="1" applyFill="1" applyBorder="1"/>
    <xf numFmtId="4" fontId="0" fillId="0" borderId="1" xfId="0" applyNumberFormat="1" applyFill="1" applyBorder="1"/>
    <xf numFmtId="0" fontId="8" fillId="0" borderId="0" xfId="4" applyFont="1" applyBorder="1" applyAlignment="1">
      <alignment horizontal="center" vertical="center"/>
    </xf>
    <xf numFmtId="174" fontId="5" fillId="0" borderId="0" xfId="7" applyNumberFormat="1" applyFont="1" applyFill="1" applyBorder="1" applyAlignment="1">
      <alignment horizontal="center"/>
    </xf>
    <xf numFmtId="10" fontId="5" fillId="0" borderId="0" xfId="1" applyNumberFormat="1" applyFont="1" applyFill="1" applyBorder="1" applyAlignment="1">
      <alignment horizontal="center"/>
    </xf>
    <xf numFmtId="9" fontId="5" fillId="0" borderId="0" xfId="1" applyNumberFormat="1" applyFont="1" applyFill="1" applyBorder="1" applyAlignment="1">
      <alignment horizontal="center"/>
    </xf>
    <xf numFmtId="0" fontId="16" fillId="0" borderId="0" xfId="4" applyFont="1" applyFill="1" applyBorder="1" applyAlignment="1">
      <alignment horizontal="center"/>
    </xf>
    <xf numFmtId="0" fontId="18" fillId="0" borderId="0" xfId="4" applyFont="1"/>
    <xf numFmtId="170" fontId="18" fillId="0" borderId="8" xfId="4" applyNumberFormat="1" applyFont="1" applyFill="1" applyBorder="1"/>
    <xf numFmtId="0" fontId="27" fillId="0" borderId="0" xfId="4" applyFont="1"/>
    <xf numFmtId="168" fontId="18" fillId="9" borderId="0" xfId="0" applyNumberFormat="1" applyFont="1" applyFill="1" applyBorder="1" applyAlignment="1">
      <alignment horizontal="center"/>
    </xf>
    <xf numFmtId="168" fontId="18" fillId="9" borderId="19" xfId="0" applyNumberFormat="1" applyFont="1" applyFill="1" applyBorder="1" applyAlignment="1">
      <alignment horizontal="center"/>
    </xf>
    <xf numFmtId="0" fontId="0" fillId="8" borderId="0" xfId="0" applyFill="1" applyBorder="1" applyAlignment="1" applyProtection="1">
      <alignment horizontal="center" vertical="center"/>
      <protection locked="0"/>
    </xf>
    <xf numFmtId="176" fontId="11" fillId="0" borderId="0" xfId="4" applyNumberFormat="1" applyFill="1" applyBorder="1"/>
    <xf numFmtId="176" fontId="11" fillId="0" borderId="8" xfId="4" applyNumberFormat="1" applyFill="1" applyBorder="1"/>
    <xf numFmtId="168" fontId="5" fillId="0" borderId="8" xfId="7" applyNumberFormat="1" applyFont="1" applyFill="1" applyBorder="1" applyAlignment="1">
      <alignment horizontal="center"/>
    </xf>
    <xf numFmtId="14" fontId="0" fillId="4" borderId="0" xfId="0" applyNumberFormat="1" applyFill="1"/>
    <xf numFmtId="177" fontId="14" fillId="10" borderId="19" xfId="0" applyNumberFormat="1" applyFont="1" applyFill="1" applyBorder="1"/>
    <xf numFmtId="0" fontId="22" fillId="9" borderId="0" xfId="0" applyNumberFormat="1" applyFont="1" applyFill="1" applyBorder="1" applyAlignment="1" applyProtection="1">
      <alignment horizontal="center" vertical="center"/>
    </xf>
    <xf numFmtId="170" fontId="11" fillId="0" borderId="16" xfId="4" applyNumberFormat="1" applyFill="1" applyBorder="1"/>
    <xf numFmtId="0" fontId="11" fillId="0" borderId="16" xfId="4" applyBorder="1"/>
    <xf numFmtId="0" fontId="11" fillId="0" borderId="16" xfId="4" applyBorder="1" applyAlignment="1">
      <alignment horizontal="center"/>
    </xf>
    <xf numFmtId="0" fontId="11" fillId="0" borderId="17" xfId="4" applyBorder="1"/>
    <xf numFmtId="0" fontId="18" fillId="0" borderId="18" xfId="4" applyFont="1" applyBorder="1"/>
    <xf numFmtId="0" fontId="11" fillId="0" borderId="0" xfId="4" applyBorder="1" applyAlignment="1">
      <alignment horizontal="center"/>
    </xf>
    <xf numFmtId="0" fontId="11" fillId="0" borderId="19" xfId="4" applyBorder="1"/>
    <xf numFmtId="0" fontId="11" fillId="0" borderId="20" xfId="4" applyBorder="1"/>
    <xf numFmtId="0" fontId="11" fillId="0" borderId="21" xfId="4" applyBorder="1"/>
    <xf numFmtId="0" fontId="11" fillId="0" borderId="21" xfId="4" applyBorder="1" applyAlignment="1">
      <alignment horizontal="center"/>
    </xf>
    <xf numFmtId="0" fontId="11" fillId="0" borderId="22" xfId="4" applyBorder="1"/>
    <xf numFmtId="0" fontId="18" fillId="0" borderId="15" xfId="4" applyFont="1" applyBorder="1"/>
    <xf numFmtId="0" fontId="8" fillId="4" borderId="15" xfId="0" applyFont="1" applyFill="1" applyBorder="1" applyAlignment="1">
      <alignment vertical="center"/>
    </xf>
    <xf numFmtId="0" fontId="8" fillId="4" borderId="18" xfId="0" applyFont="1" applyFill="1" applyBorder="1" applyAlignment="1">
      <alignment vertical="center"/>
    </xf>
    <xf numFmtId="0" fontId="26" fillId="8" borderId="19" xfId="0" applyFont="1" applyFill="1" applyBorder="1" applyAlignment="1" applyProtection="1">
      <alignment horizontal="center" vertical="center" wrapText="1"/>
      <protection locked="0"/>
    </xf>
    <xf numFmtId="173" fontId="31" fillId="0" borderId="7" xfId="6" quotePrefix="1" applyNumberFormat="1" applyFont="1" applyFill="1" applyBorder="1"/>
    <xf numFmtId="0" fontId="30" fillId="0" borderId="0" xfId="4" applyFont="1" applyFill="1" applyBorder="1" applyAlignment="1">
      <alignment horizontal="center"/>
    </xf>
    <xf numFmtId="0" fontId="30" fillId="0" borderId="18" xfId="4" applyFont="1" applyBorder="1"/>
    <xf numFmtId="170" fontId="30" fillId="0" borderId="0" xfId="4" applyNumberFormat="1" applyFont="1" applyFill="1" applyBorder="1"/>
    <xf numFmtId="0" fontId="30" fillId="0" borderId="0" xfId="4" applyFont="1" applyBorder="1"/>
    <xf numFmtId="0" fontId="30" fillId="0" borderId="0" xfId="4" applyFont="1" applyBorder="1" applyAlignment="1">
      <alignment horizontal="center"/>
    </xf>
    <xf numFmtId="168" fontId="30" fillId="0" borderId="0" xfId="4" applyNumberFormat="1" applyFont="1" applyBorder="1"/>
    <xf numFmtId="168" fontId="13" fillId="4" borderId="18" xfId="0" applyNumberFormat="1" applyFont="1" applyFill="1" applyBorder="1" applyAlignment="1">
      <alignment vertical="center"/>
    </xf>
    <xf numFmtId="168" fontId="13" fillId="4" borderId="0" xfId="0" applyNumberFormat="1" applyFont="1" applyFill="1" applyBorder="1" applyAlignment="1">
      <alignment vertical="center"/>
    </xf>
    <xf numFmtId="168" fontId="13" fillId="4" borderId="0" xfId="0" applyNumberFormat="1" applyFont="1" applyFill="1" applyAlignment="1">
      <alignment vertical="center"/>
    </xf>
    <xf numFmtId="14" fontId="0" fillId="0" borderId="0" xfId="0" applyNumberFormat="1" applyAlignment="1">
      <alignment vertical="center"/>
    </xf>
    <xf numFmtId="170" fontId="0" fillId="8" borderId="0" xfId="0" applyNumberFormat="1" applyFont="1" applyFill="1" applyBorder="1" applyAlignment="1" applyProtection="1">
      <alignment horizontal="center" vertical="center"/>
    </xf>
    <xf numFmtId="0" fontId="24" fillId="8" borderId="15" xfId="0" applyFont="1" applyFill="1" applyBorder="1" applyAlignment="1" applyProtection="1">
      <alignment horizontal="center" vertical="center" wrapText="1"/>
    </xf>
    <xf numFmtId="0" fontId="24" fillId="8" borderId="16" xfId="0" applyFont="1" applyFill="1" applyBorder="1" applyAlignment="1" applyProtection="1">
      <alignment horizontal="center" vertical="center" wrapText="1"/>
    </xf>
    <xf numFmtId="0" fontId="24" fillId="9" borderId="16" xfId="0" applyFont="1" applyFill="1" applyBorder="1" applyAlignment="1" applyProtection="1">
      <alignment horizontal="center" vertical="center" wrapText="1"/>
    </xf>
    <xf numFmtId="0" fontId="29" fillId="8" borderId="16" xfId="0" applyFont="1" applyFill="1" applyBorder="1" applyAlignment="1" applyProtection="1">
      <alignment horizontal="center" vertical="center" wrapText="1"/>
    </xf>
    <xf numFmtId="0" fontId="24" fillId="9" borderId="16"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2" fillId="8" borderId="18" xfId="0" applyFont="1" applyFill="1" applyBorder="1" applyAlignment="1" applyProtection="1">
      <alignment horizontal="center" vertical="center"/>
      <protection locked="0"/>
    </xf>
    <xf numFmtId="168" fontId="0" fillId="9" borderId="19" xfId="0" applyNumberFormat="1" applyFont="1" applyFill="1" applyBorder="1" applyAlignment="1">
      <alignment horizontal="center" vertical="center"/>
    </xf>
    <xf numFmtId="0" fontId="0" fillId="8" borderId="18" xfId="0" applyFont="1" applyFill="1" applyBorder="1" applyAlignment="1" applyProtection="1">
      <alignment horizontal="center" vertical="center"/>
      <protection locked="0"/>
    </xf>
    <xf numFmtId="0" fontId="0" fillId="8" borderId="20" xfId="0" applyFont="1" applyFill="1" applyBorder="1" applyAlignment="1" applyProtection="1">
      <alignment horizontal="center" vertical="center"/>
      <protection locked="0"/>
    </xf>
    <xf numFmtId="0" fontId="0" fillId="8" borderId="21" xfId="0" applyFont="1" applyFill="1" applyBorder="1" applyAlignment="1" applyProtection="1">
      <alignment horizontal="center" vertical="center"/>
      <protection locked="0"/>
    </xf>
    <xf numFmtId="168" fontId="0" fillId="8" borderId="21" xfId="0" applyNumberFormat="1" applyFont="1" applyFill="1" applyBorder="1" applyAlignment="1" applyProtection="1">
      <alignment horizontal="center" vertical="center"/>
      <protection locked="0"/>
    </xf>
    <xf numFmtId="0" fontId="22" fillId="9" borderId="21" xfId="0" applyNumberFormat="1" applyFont="1" applyFill="1" applyBorder="1" applyAlignment="1" applyProtection="1">
      <alignment horizontal="center" vertical="center"/>
    </xf>
    <xf numFmtId="0" fontId="0" fillId="8" borderId="21" xfId="0" applyFill="1" applyBorder="1" applyAlignment="1" applyProtection="1">
      <alignment horizontal="center" vertical="center"/>
      <protection locked="0"/>
    </xf>
    <xf numFmtId="170" fontId="0" fillId="8" borderId="21" xfId="0" applyNumberFormat="1" applyFont="1" applyFill="1" applyBorder="1" applyAlignment="1" applyProtection="1">
      <alignment horizontal="center" vertical="center"/>
      <protection locked="0"/>
    </xf>
    <xf numFmtId="170" fontId="0" fillId="8" borderId="21" xfId="0" applyNumberFormat="1" applyFont="1" applyFill="1" applyBorder="1" applyAlignment="1" applyProtection="1">
      <alignment horizontal="center" vertical="center"/>
    </xf>
    <xf numFmtId="168" fontId="0" fillId="9" borderId="22" xfId="0" applyNumberFormat="1" applyFont="1" applyFill="1" applyBorder="1" applyAlignment="1">
      <alignment horizontal="center" vertical="center"/>
    </xf>
    <xf numFmtId="168" fontId="0" fillId="9" borderId="21" xfId="0" applyNumberFormat="1" applyFont="1" applyFill="1" applyBorder="1" applyAlignment="1">
      <alignment horizontal="center" vertical="center"/>
    </xf>
    <xf numFmtId="0" fontId="34" fillId="4" borderId="0" xfId="0" applyNumberFormat="1" applyFont="1" applyFill="1" applyBorder="1" applyAlignment="1">
      <alignment vertical="center"/>
    </xf>
    <xf numFmtId="0" fontId="35" fillId="4" borderId="0" xfId="0" applyFont="1" applyFill="1"/>
    <xf numFmtId="170" fontId="36" fillId="0" borderId="8" xfId="4" applyNumberFormat="1" applyFont="1" applyFill="1" applyBorder="1"/>
    <xf numFmtId="170" fontId="36" fillId="0" borderId="10" xfId="4" applyNumberFormat="1" applyFont="1" applyFill="1" applyBorder="1"/>
    <xf numFmtId="173" fontId="37" fillId="0" borderId="7" xfId="6" quotePrefix="1" applyNumberFormat="1" applyFont="1" applyFill="1" applyBorder="1"/>
    <xf numFmtId="0" fontId="36" fillId="0" borderId="0" xfId="4" applyFont="1" applyFill="1" applyBorder="1" applyAlignment="1">
      <alignment horizontal="center"/>
    </xf>
    <xf numFmtId="176" fontId="36" fillId="0" borderId="8" xfId="4" applyNumberFormat="1" applyFont="1" applyFill="1" applyBorder="1"/>
    <xf numFmtId="0" fontId="37" fillId="0" borderId="0" xfId="4" applyFont="1" applyFill="1" applyBorder="1" applyAlignment="1">
      <alignment horizontal="center"/>
    </xf>
    <xf numFmtId="39" fontId="0" fillId="0" borderId="0" xfId="0" applyNumberFormat="1" applyFill="1"/>
    <xf numFmtId="168" fontId="18" fillId="9" borderId="15" xfId="0" applyNumberFormat="1" applyFont="1" applyFill="1" applyBorder="1" applyAlignment="1">
      <alignment horizontal="center"/>
    </xf>
    <xf numFmtId="168" fontId="18" fillId="9" borderId="17" xfId="0" applyNumberFormat="1" applyFont="1" applyFill="1" applyBorder="1" applyAlignment="1">
      <alignment horizontal="center"/>
    </xf>
    <xf numFmtId="168" fontId="18" fillId="9" borderId="16" xfId="0" applyNumberFormat="1" applyFont="1" applyFill="1" applyBorder="1" applyAlignment="1">
      <alignment horizontal="center"/>
    </xf>
    <xf numFmtId="168" fontId="21" fillId="9" borderId="18" xfId="0" applyNumberFormat="1" applyFont="1" applyFill="1" applyBorder="1" applyAlignment="1">
      <alignment horizontal="center" wrapText="1"/>
    </xf>
    <xf numFmtId="168" fontId="21" fillId="9" borderId="0" xfId="0" applyNumberFormat="1" applyFont="1" applyFill="1" applyBorder="1" applyAlignment="1">
      <alignment horizontal="center" wrapText="1"/>
    </xf>
    <xf numFmtId="168" fontId="21" fillId="9" borderId="19" xfId="0" applyNumberFormat="1" applyFont="1" applyFill="1" applyBorder="1" applyAlignment="1">
      <alignment horizontal="center" wrapText="1"/>
    </xf>
    <xf numFmtId="0" fontId="8" fillId="9" borderId="0" xfId="0" applyFont="1" applyFill="1" applyBorder="1" applyAlignment="1">
      <alignment horizontal="center"/>
    </xf>
    <xf numFmtId="0" fontId="8" fillId="9" borderId="19" xfId="0" applyFont="1" applyFill="1" applyBorder="1" applyAlignment="1">
      <alignment horizontal="center"/>
    </xf>
    <xf numFmtId="168" fontId="4" fillId="9" borderId="0" xfId="0" applyNumberFormat="1" applyFont="1" applyFill="1" applyBorder="1" applyAlignment="1">
      <alignment horizontal="center"/>
    </xf>
    <xf numFmtId="168" fontId="4" fillId="9" borderId="19" xfId="0" applyNumberFormat="1" applyFont="1" applyFill="1" applyBorder="1" applyAlignment="1">
      <alignment horizontal="center"/>
    </xf>
    <xf numFmtId="168" fontId="32" fillId="4" borderId="21" xfId="0" applyNumberFormat="1" applyFont="1" applyFill="1" applyBorder="1" applyAlignment="1">
      <alignment horizontal="center" vertical="center"/>
    </xf>
    <xf numFmtId="168" fontId="33" fillId="4" borderId="22" xfId="0" applyNumberFormat="1" applyFont="1" applyFill="1" applyBorder="1" applyAlignment="1">
      <alignment horizontal="center" vertical="center"/>
    </xf>
    <xf numFmtId="168" fontId="14" fillId="12" borderId="15" xfId="0" applyNumberFormat="1" applyFont="1" applyFill="1" applyBorder="1" applyAlignment="1">
      <alignment horizontal="center" vertical="center" wrapText="1"/>
    </xf>
    <xf numFmtId="168" fontId="14" fillId="12" borderId="16" xfId="0" applyNumberFormat="1" applyFont="1" applyFill="1" applyBorder="1" applyAlignment="1">
      <alignment horizontal="center" vertical="center" wrapText="1"/>
    </xf>
    <xf numFmtId="168" fontId="14" fillId="12" borderId="17" xfId="0" applyNumberFormat="1" applyFont="1" applyFill="1" applyBorder="1" applyAlignment="1">
      <alignment horizontal="center" vertical="center" wrapText="1"/>
    </xf>
    <xf numFmtId="168" fontId="14" fillId="12" borderId="18" xfId="0" applyNumberFormat="1" applyFont="1" applyFill="1" applyBorder="1" applyAlignment="1">
      <alignment horizontal="center" vertical="center" wrapText="1"/>
    </xf>
    <xf numFmtId="168" fontId="14" fillId="12" borderId="0" xfId="0" applyNumberFormat="1" applyFont="1" applyFill="1" applyBorder="1" applyAlignment="1">
      <alignment horizontal="center" vertical="center" wrapText="1"/>
    </xf>
    <xf numFmtId="168" fontId="14" fillId="12" borderId="19" xfId="0" applyNumberFormat="1" applyFont="1" applyFill="1" applyBorder="1" applyAlignment="1">
      <alignment horizontal="center" vertical="center" wrapText="1"/>
    </xf>
    <xf numFmtId="168" fontId="13" fillId="4" borderId="18" xfId="0" applyNumberFormat="1" applyFont="1" applyFill="1" applyBorder="1" applyAlignment="1">
      <alignment horizontal="center" vertical="center"/>
    </xf>
    <xf numFmtId="168" fontId="13" fillId="4" borderId="0" xfId="0" applyNumberFormat="1" applyFont="1" applyFill="1" applyBorder="1" applyAlignment="1">
      <alignment horizontal="center" vertical="center"/>
    </xf>
    <xf numFmtId="168" fontId="32" fillId="4" borderId="20" xfId="0" applyNumberFormat="1" applyFont="1" applyFill="1" applyBorder="1" applyAlignment="1">
      <alignment horizontal="center" vertical="center"/>
    </xf>
    <xf numFmtId="0" fontId="13" fillId="4" borderId="0"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168" fontId="13" fillId="4" borderId="0" xfId="7" applyNumberFormat="1" applyFont="1" applyFill="1" applyBorder="1" applyAlignment="1" applyProtection="1">
      <alignment horizontal="center" vertical="center"/>
      <protection locked="0"/>
    </xf>
    <xf numFmtId="168" fontId="13" fillId="4" borderId="19" xfId="7" applyNumberFormat="1" applyFont="1" applyFill="1" applyBorder="1" applyAlignment="1" applyProtection="1">
      <alignment horizontal="center" vertical="center"/>
      <protection locked="0"/>
    </xf>
    <xf numFmtId="0" fontId="13" fillId="4" borderId="0" xfId="0" applyNumberFormat="1" applyFont="1" applyFill="1" applyBorder="1" applyAlignment="1" applyProtection="1">
      <alignment horizontal="center" vertical="center"/>
      <protection locked="0"/>
    </xf>
    <xf numFmtId="0" fontId="13" fillId="4" borderId="19" xfId="0" applyNumberFormat="1" applyFont="1" applyFill="1" applyBorder="1" applyAlignment="1" applyProtection="1">
      <alignment horizontal="center" vertical="center"/>
      <protection locked="0"/>
    </xf>
    <xf numFmtId="168" fontId="18" fillId="9" borderId="0" xfId="0" applyNumberFormat="1" applyFont="1" applyFill="1" applyBorder="1" applyAlignment="1">
      <alignment horizontal="center"/>
    </xf>
    <xf numFmtId="168" fontId="18" fillId="9" borderId="19" xfId="0" applyNumberFormat="1" applyFont="1" applyFill="1" applyBorder="1" applyAlignment="1">
      <alignment horizontal="center"/>
    </xf>
    <xf numFmtId="168" fontId="20" fillId="9" borderId="21" xfId="0" applyNumberFormat="1" applyFont="1" applyFill="1" applyBorder="1" applyAlignment="1">
      <alignment horizontal="center"/>
    </xf>
    <xf numFmtId="168" fontId="20" fillId="9" borderId="22" xfId="0" applyNumberFormat="1" applyFont="1" applyFill="1" applyBorder="1" applyAlignment="1">
      <alignment horizontal="center"/>
    </xf>
    <xf numFmtId="168" fontId="21" fillId="9" borderId="18" xfId="0" applyNumberFormat="1" applyFont="1" applyFill="1" applyBorder="1" applyAlignment="1">
      <alignment horizontal="center"/>
    </xf>
    <xf numFmtId="168" fontId="21" fillId="9" borderId="0" xfId="0" applyNumberFormat="1" applyFont="1" applyFill="1" applyBorder="1" applyAlignment="1">
      <alignment horizontal="center"/>
    </xf>
    <xf numFmtId="168" fontId="21" fillId="9" borderId="19" xfId="0" applyNumberFormat="1" applyFont="1" applyFill="1" applyBorder="1" applyAlignment="1">
      <alignment horizontal="center"/>
    </xf>
    <xf numFmtId="0" fontId="16" fillId="0" borderId="11" xfId="4" applyFont="1" applyFill="1" applyBorder="1" applyAlignment="1">
      <alignment horizontal="center"/>
    </xf>
  </cellXfs>
  <cellStyles count="8">
    <cellStyle name="Bad" xfId="3" builtinId="27"/>
    <cellStyle name="Comma" xfId="6" builtinId="3"/>
    <cellStyle name="Comma 2" xfId="5"/>
    <cellStyle name="Currency" xfId="7" builtinId="4"/>
    <cellStyle name="Good" xfId="2" builtinId="26"/>
    <cellStyle name="Normal" xfId="0" builtinId="0"/>
    <cellStyle name="Normal 2"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B110"/>
  <sheetViews>
    <sheetView showGridLines="0" tabSelected="1" zoomScale="90" zoomScaleNormal="90" workbookViewId="0">
      <selection activeCell="C2" sqref="C2"/>
    </sheetView>
  </sheetViews>
  <sheetFormatPr defaultColWidth="8.85546875" defaultRowHeight="15" x14ac:dyDescent="0.25"/>
  <cols>
    <col min="1" max="1" width="3.28515625" style="1" customWidth="1"/>
    <col min="2" max="2" width="51.42578125" style="1" customWidth="1"/>
    <col min="3" max="3" width="16.7109375" style="1" customWidth="1"/>
    <col min="4" max="4" width="5.42578125" style="2" customWidth="1"/>
    <col min="5" max="5" width="15.5703125" style="3" customWidth="1"/>
    <col min="6" max="6" width="15.42578125" style="1" customWidth="1"/>
    <col min="7" max="7" width="19.85546875" style="1" customWidth="1"/>
    <col min="8" max="8" width="14.85546875" style="1" customWidth="1"/>
    <col min="9" max="9" width="12.42578125" style="1" customWidth="1"/>
    <col min="10" max="10" width="8.7109375" customWidth="1"/>
    <col min="11" max="11" width="12" customWidth="1"/>
    <col min="12" max="12" width="14.7109375" customWidth="1"/>
    <col min="13" max="13" width="13.7109375" customWidth="1"/>
    <col min="14" max="14" width="9.85546875" hidden="1" customWidth="1"/>
    <col min="15" max="15" width="10.42578125" customWidth="1"/>
    <col min="16" max="16" width="11.28515625" customWidth="1"/>
    <col min="17" max="17" width="11.5703125" customWidth="1"/>
    <col min="18" max="18" width="16" customWidth="1"/>
    <col min="19" max="19" width="14.7109375" customWidth="1"/>
    <col min="20" max="20" width="18.28515625" customWidth="1"/>
    <col min="21" max="21" width="13.28515625" hidden="1" customWidth="1"/>
    <col min="22" max="22" width="21.28515625" hidden="1" customWidth="1"/>
    <col min="23" max="23" width="15" hidden="1" customWidth="1"/>
    <col min="24" max="261" width="8.85546875" style="1"/>
    <col min="262" max="262" width="51.42578125" style="1" customWidth="1"/>
    <col min="263" max="263" width="14.42578125" style="1" bestFit="1" customWidth="1"/>
    <col min="264" max="264" width="11.28515625" style="1" customWidth="1"/>
    <col min="265" max="265" width="18.85546875" style="1" customWidth="1"/>
    <col min="266" max="266" width="21.140625" style="1" customWidth="1"/>
    <col min="267" max="267" width="20.5703125" style="1" customWidth="1"/>
    <col min="268" max="268" width="14.140625" style="1" customWidth="1"/>
    <col min="269" max="269" width="21.28515625" style="1" customWidth="1"/>
    <col min="270" max="271" width="12.140625" style="1" customWidth="1"/>
    <col min="272" max="272" width="13.5703125" style="1" bestFit="1" customWidth="1"/>
    <col min="273" max="517" width="8.85546875" style="1"/>
    <col min="518" max="518" width="51.42578125" style="1" customWidth="1"/>
    <col min="519" max="519" width="14.42578125" style="1" bestFit="1" customWidth="1"/>
    <col min="520" max="520" width="11.28515625" style="1" customWidth="1"/>
    <col min="521" max="521" width="18.85546875" style="1" customWidth="1"/>
    <col min="522" max="522" width="21.140625" style="1" customWidth="1"/>
    <col min="523" max="523" width="20.5703125" style="1" customWidth="1"/>
    <col min="524" max="524" width="14.140625" style="1" customWidth="1"/>
    <col min="525" max="525" width="21.28515625" style="1" customWidth="1"/>
    <col min="526" max="527" width="12.140625" style="1" customWidth="1"/>
    <col min="528" max="528" width="13.5703125" style="1" bestFit="1" customWidth="1"/>
    <col min="529" max="773" width="8.85546875" style="1"/>
    <col min="774" max="774" width="51.42578125" style="1" customWidth="1"/>
    <col min="775" max="775" width="14.42578125" style="1" bestFit="1" customWidth="1"/>
    <col min="776" max="776" width="11.28515625" style="1" customWidth="1"/>
    <col min="777" max="777" width="18.85546875" style="1" customWidth="1"/>
    <col min="778" max="778" width="21.140625" style="1" customWidth="1"/>
    <col min="779" max="779" width="20.5703125" style="1" customWidth="1"/>
    <col min="780" max="780" width="14.140625" style="1" customWidth="1"/>
    <col min="781" max="781" width="21.28515625" style="1" customWidth="1"/>
    <col min="782" max="783" width="12.140625" style="1" customWidth="1"/>
    <col min="784" max="784" width="13.5703125" style="1" bestFit="1" customWidth="1"/>
    <col min="785" max="1029" width="8.85546875" style="1"/>
    <col min="1030" max="1030" width="51.42578125" style="1" customWidth="1"/>
    <col min="1031" max="1031" width="14.42578125" style="1" bestFit="1" customWidth="1"/>
    <col min="1032" max="1032" width="11.28515625" style="1" customWidth="1"/>
    <col min="1033" max="1033" width="18.85546875" style="1" customWidth="1"/>
    <col min="1034" max="1034" width="21.140625" style="1" customWidth="1"/>
    <col min="1035" max="1035" width="20.5703125" style="1" customWidth="1"/>
    <col min="1036" max="1036" width="14.140625" style="1" customWidth="1"/>
    <col min="1037" max="1037" width="21.28515625" style="1" customWidth="1"/>
    <col min="1038" max="1039" width="12.140625" style="1" customWidth="1"/>
    <col min="1040" max="1040" width="13.5703125" style="1" bestFit="1" customWidth="1"/>
    <col min="1041" max="1285" width="8.85546875" style="1"/>
    <col min="1286" max="1286" width="51.42578125" style="1" customWidth="1"/>
    <col min="1287" max="1287" width="14.42578125" style="1" bestFit="1" customWidth="1"/>
    <col min="1288" max="1288" width="11.28515625" style="1" customWidth="1"/>
    <col min="1289" max="1289" width="18.85546875" style="1" customWidth="1"/>
    <col min="1290" max="1290" width="21.140625" style="1" customWidth="1"/>
    <col min="1291" max="1291" width="20.5703125" style="1" customWidth="1"/>
    <col min="1292" max="1292" width="14.140625" style="1" customWidth="1"/>
    <col min="1293" max="1293" width="21.28515625" style="1" customWidth="1"/>
    <col min="1294" max="1295" width="12.140625" style="1" customWidth="1"/>
    <col min="1296" max="1296" width="13.5703125" style="1" bestFit="1" customWidth="1"/>
    <col min="1297" max="1541" width="8.85546875" style="1"/>
    <col min="1542" max="1542" width="51.42578125" style="1" customWidth="1"/>
    <col min="1543" max="1543" width="14.42578125" style="1" bestFit="1" customWidth="1"/>
    <col min="1544" max="1544" width="11.28515625" style="1" customWidth="1"/>
    <col min="1545" max="1545" width="18.85546875" style="1" customWidth="1"/>
    <col min="1546" max="1546" width="21.140625" style="1" customWidth="1"/>
    <col min="1547" max="1547" width="20.5703125" style="1" customWidth="1"/>
    <col min="1548" max="1548" width="14.140625" style="1" customWidth="1"/>
    <col min="1549" max="1549" width="21.28515625" style="1" customWidth="1"/>
    <col min="1550" max="1551" width="12.140625" style="1" customWidth="1"/>
    <col min="1552" max="1552" width="13.5703125" style="1" bestFit="1" customWidth="1"/>
    <col min="1553" max="1797" width="8.85546875" style="1"/>
    <col min="1798" max="1798" width="51.42578125" style="1" customWidth="1"/>
    <col min="1799" max="1799" width="14.42578125" style="1" bestFit="1" customWidth="1"/>
    <col min="1800" max="1800" width="11.28515625" style="1" customWidth="1"/>
    <col min="1801" max="1801" width="18.85546875" style="1" customWidth="1"/>
    <col min="1802" max="1802" width="21.140625" style="1" customWidth="1"/>
    <col min="1803" max="1803" width="20.5703125" style="1" customWidth="1"/>
    <col min="1804" max="1804" width="14.140625" style="1" customWidth="1"/>
    <col min="1805" max="1805" width="21.28515625" style="1" customWidth="1"/>
    <col min="1806" max="1807" width="12.140625" style="1" customWidth="1"/>
    <col min="1808" max="1808" width="13.5703125" style="1" bestFit="1" customWidth="1"/>
    <col min="1809" max="2053" width="8.85546875" style="1"/>
    <col min="2054" max="2054" width="51.42578125" style="1" customWidth="1"/>
    <col min="2055" max="2055" width="14.42578125" style="1" bestFit="1" customWidth="1"/>
    <col min="2056" max="2056" width="11.28515625" style="1" customWidth="1"/>
    <col min="2057" max="2057" width="18.85546875" style="1" customWidth="1"/>
    <col min="2058" max="2058" width="21.140625" style="1" customWidth="1"/>
    <col min="2059" max="2059" width="20.5703125" style="1" customWidth="1"/>
    <col min="2060" max="2060" width="14.140625" style="1" customWidth="1"/>
    <col min="2061" max="2061" width="21.28515625" style="1" customWidth="1"/>
    <col min="2062" max="2063" width="12.140625" style="1" customWidth="1"/>
    <col min="2064" max="2064" width="13.5703125" style="1" bestFit="1" customWidth="1"/>
    <col min="2065" max="2309" width="8.85546875" style="1"/>
    <col min="2310" max="2310" width="51.42578125" style="1" customWidth="1"/>
    <col min="2311" max="2311" width="14.42578125" style="1" bestFit="1" customWidth="1"/>
    <col min="2312" max="2312" width="11.28515625" style="1" customWidth="1"/>
    <col min="2313" max="2313" width="18.85546875" style="1" customWidth="1"/>
    <col min="2314" max="2314" width="21.140625" style="1" customWidth="1"/>
    <col min="2315" max="2315" width="20.5703125" style="1" customWidth="1"/>
    <col min="2316" max="2316" width="14.140625" style="1" customWidth="1"/>
    <col min="2317" max="2317" width="21.28515625" style="1" customWidth="1"/>
    <col min="2318" max="2319" width="12.140625" style="1" customWidth="1"/>
    <col min="2320" max="2320" width="13.5703125" style="1" bestFit="1" customWidth="1"/>
    <col min="2321" max="2565" width="8.85546875" style="1"/>
    <col min="2566" max="2566" width="51.42578125" style="1" customWidth="1"/>
    <col min="2567" max="2567" width="14.42578125" style="1" bestFit="1" customWidth="1"/>
    <col min="2568" max="2568" width="11.28515625" style="1" customWidth="1"/>
    <col min="2569" max="2569" width="18.85546875" style="1" customWidth="1"/>
    <col min="2570" max="2570" width="21.140625" style="1" customWidth="1"/>
    <col min="2571" max="2571" width="20.5703125" style="1" customWidth="1"/>
    <col min="2572" max="2572" width="14.140625" style="1" customWidth="1"/>
    <col min="2573" max="2573" width="21.28515625" style="1" customWidth="1"/>
    <col min="2574" max="2575" width="12.140625" style="1" customWidth="1"/>
    <col min="2576" max="2576" width="13.5703125" style="1" bestFit="1" customWidth="1"/>
    <col min="2577" max="2821" width="8.85546875" style="1"/>
    <col min="2822" max="2822" width="51.42578125" style="1" customWidth="1"/>
    <col min="2823" max="2823" width="14.42578125" style="1" bestFit="1" customWidth="1"/>
    <col min="2824" max="2824" width="11.28515625" style="1" customWidth="1"/>
    <col min="2825" max="2825" width="18.85546875" style="1" customWidth="1"/>
    <col min="2826" max="2826" width="21.140625" style="1" customWidth="1"/>
    <col min="2827" max="2827" width="20.5703125" style="1" customWidth="1"/>
    <col min="2828" max="2828" width="14.140625" style="1" customWidth="1"/>
    <col min="2829" max="2829" width="21.28515625" style="1" customWidth="1"/>
    <col min="2830" max="2831" width="12.140625" style="1" customWidth="1"/>
    <col min="2832" max="2832" width="13.5703125" style="1" bestFit="1" customWidth="1"/>
    <col min="2833" max="3077" width="8.85546875" style="1"/>
    <col min="3078" max="3078" width="51.42578125" style="1" customWidth="1"/>
    <col min="3079" max="3079" width="14.42578125" style="1" bestFit="1" customWidth="1"/>
    <col min="3080" max="3080" width="11.28515625" style="1" customWidth="1"/>
    <col min="3081" max="3081" width="18.85546875" style="1" customWidth="1"/>
    <col min="3082" max="3082" width="21.140625" style="1" customWidth="1"/>
    <col min="3083" max="3083" width="20.5703125" style="1" customWidth="1"/>
    <col min="3084" max="3084" width="14.140625" style="1" customWidth="1"/>
    <col min="3085" max="3085" width="21.28515625" style="1" customWidth="1"/>
    <col min="3086" max="3087" width="12.140625" style="1" customWidth="1"/>
    <col min="3088" max="3088" width="13.5703125" style="1" bestFit="1" customWidth="1"/>
    <col min="3089" max="3333" width="8.85546875" style="1"/>
    <col min="3334" max="3334" width="51.42578125" style="1" customWidth="1"/>
    <col min="3335" max="3335" width="14.42578125" style="1" bestFit="1" customWidth="1"/>
    <col min="3336" max="3336" width="11.28515625" style="1" customWidth="1"/>
    <col min="3337" max="3337" width="18.85546875" style="1" customWidth="1"/>
    <col min="3338" max="3338" width="21.140625" style="1" customWidth="1"/>
    <col min="3339" max="3339" width="20.5703125" style="1" customWidth="1"/>
    <col min="3340" max="3340" width="14.140625" style="1" customWidth="1"/>
    <col min="3341" max="3341" width="21.28515625" style="1" customWidth="1"/>
    <col min="3342" max="3343" width="12.140625" style="1" customWidth="1"/>
    <col min="3344" max="3344" width="13.5703125" style="1" bestFit="1" customWidth="1"/>
    <col min="3345" max="3589" width="8.85546875" style="1"/>
    <col min="3590" max="3590" width="51.42578125" style="1" customWidth="1"/>
    <col min="3591" max="3591" width="14.42578125" style="1" bestFit="1" customWidth="1"/>
    <col min="3592" max="3592" width="11.28515625" style="1" customWidth="1"/>
    <col min="3593" max="3593" width="18.85546875" style="1" customWidth="1"/>
    <col min="3594" max="3594" width="21.140625" style="1" customWidth="1"/>
    <col min="3595" max="3595" width="20.5703125" style="1" customWidth="1"/>
    <col min="3596" max="3596" width="14.140625" style="1" customWidth="1"/>
    <col min="3597" max="3597" width="21.28515625" style="1" customWidth="1"/>
    <col min="3598" max="3599" width="12.140625" style="1" customWidth="1"/>
    <col min="3600" max="3600" width="13.5703125" style="1" bestFit="1" customWidth="1"/>
    <col min="3601" max="3845" width="8.85546875" style="1"/>
    <col min="3846" max="3846" width="51.42578125" style="1" customWidth="1"/>
    <col min="3847" max="3847" width="14.42578125" style="1" bestFit="1" customWidth="1"/>
    <col min="3848" max="3848" width="11.28515625" style="1" customWidth="1"/>
    <col min="3849" max="3849" width="18.85546875" style="1" customWidth="1"/>
    <col min="3850" max="3850" width="21.140625" style="1" customWidth="1"/>
    <col min="3851" max="3851" width="20.5703125" style="1" customWidth="1"/>
    <col min="3852" max="3852" width="14.140625" style="1" customWidth="1"/>
    <col min="3853" max="3853" width="21.28515625" style="1" customWidth="1"/>
    <col min="3854" max="3855" width="12.140625" style="1" customWidth="1"/>
    <col min="3856" max="3856" width="13.5703125" style="1" bestFit="1" customWidth="1"/>
    <col min="3857" max="4101" width="8.85546875" style="1"/>
    <col min="4102" max="4102" width="51.42578125" style="1" customWidth="1"/>
    <col min="4103" max="4103" width="14.42578125" style="1" bestFit="1" customWidth="1"/>
    <col min="4104" max="4104" width="11.28515625" style="1" customWidth="1"/>
    <col min="4105" max="4105" width="18.85546875" style="1" customWidth="1"/>
    <col min="4106" max="4106" width="21.140625" style="1" customWidth="1"/>
    <col min="4107" max="4107" width="20.5703125" style="1" customWidth="1"/>
    <col min="4108" max="4108" width="14.140625" style="1" customWidth="1"/>
    <col min="4109" max="4109" width="21.28515625" style="1" customWidth="1"/>
    <col min="4110" max="4111" width="12.140625" style="1" customWidth="1"/>
    <col min="4112" max="4112" width="13.5703125" style="1" bestFit="1" customWidth="1"/>
    <col min="4113" max="4357" width="8.85546875" style="1"/>
    <col min="4358" max="4358" width="51.42578125" style="1" customWidth="1"/>
    <col min="4359" max="4359" width="14.42578125" style="1" bestFit="1" customWidth="1"/>
    <col min="4360" max="4360" width="11.28515625" style="1" customWidth="1"/>
    <col min="4361" max="4361" width="18.85546875" style="1" customWidth="1"/>
    <col min="4362" max="4362" width="21.140625" style="1" customWidth="1"/>
    <col min="4363" max="4363" width="20.5703125" style="1" customWidth="1"/>
    <col min="4364" max="4364" width="14.140625" style="1" customWidth="1"/>
    <col min="4365" max="4365" width="21.28515625" style="1" customWidth="1"/>
    <col min="4366" max="4367" width="12.140625" style="1" customWidth="1"/>
    <col min="4368" max="4368" width="13.5703125" style="1" bestFit="1" customWidth="1"/>
    <col min="4369" max="4613" width="8.85546875" style="1"/>
    <col min="4614" max="4614" width="51.42578125" style="1" customWidth="1"/>
    <col min="4615" max="4615" width="14.42578125" style="1" bestFit="1" customWidth="1"/>
    <col min="4616" max="4616" width="11.28515625" style="1" customWidth="1"/>
    <col min="4617" max="4617" width="18.85546875" style="1" customWidth="1"/>
    <col min="4618" max="4618" width="21.140625" style="1" customWidth="1"/>
    <col min="4619" max="4619" width="20.5703125" style="1" customWidth="1"/>
    <col min="4620" max="4620" width="14.140625" style="1" customWidth="1"/>
    <col min="4621" max="4621" width="21.28515625" style="1" customWidth="1"/>
    <col min="4622" max="4623" width="12.140625" style="1" customWidth="1"/>
    <col min="4624" max="4624" width="13.5703125" style="1" bestFit="1" customWidth="1"/>
    <col min="4625" max="4869" width="8.85546875" style="1"/>
    <col min="4870" max="4870" width="51.42578125" style="1" customWidth="1"/>
    <col min="4871" max="4871" width="14.42578125" style="1" bestFit="1" customWidth="1"/>
    <col min="4872" max="4872" width="11.28515625" style="1" customWidth="1"/>
    <col min="4873" max="4873" width="18.85546875" style="1" customWidth="1"/>
    <col min="4874" max="4874" width="21.140625" style="1" customWidth="1"/>
    <col min="4875" max="4875" width="20.5703125" style="1" customWidth="1"/>
    <col min="4876" max="4876" width="14.140625" style="1" customWidth="1"/>
    <col min="4877" max="4877" width="21.28515625" style="1" customWidth="1"/>
    <col min="4878" max="4879" width="12.140625" style="1" customWidth="1"/>
    <col min="4880" max="4880" width="13.5703125" style="1" bestFit="1" customWidth="1"/>
    <col min="4881" max="5125" width="8.85546875" style="1"/>
    <col min="5126" max="5126" width="51.42578125" style="1" customWidth="1"/>
    <col min="5127" max="5127" width="14.42578125" style="1" bestFit="1" customWidth="1"/>
    <col min="5128" max="5128" width="11.28515625" style="1" customWidth="1"/>
    <col min="5129" max="5129" width="18.85546875" style="1" customWidth="1"/>
    <col min="5130" max="5130" width="21.140625" style="1" customWidth="1"/>
    <col min="5131" max="5131" width="20.5703125" style="1" customWidth="1"/>
    <col min="5132" max="5132" width="14.140625" style="1" customWidth="1"/>
    <col min="5133" max="5133" width="21.28515625" style="1" customWidth="1"/>
    <col min="5134" max="5135" width="12.140625" style="1" customWidth="1"/>
    <col min="5136" max="5136" width="13.5703125" style="1" bestFit="1" customWidth="1"/>
    <col min="5137" max="5381" width="8.85546875" style="1"/>
    <col min="5382" max="5382" width="51.42578125" style="1" customWidth="1"/>
    <col min="5383" max="5383" width="14.42578125" style="1" bestFit="1" customWidth="1"/>
    <col min="5384" max="5384" width="11.28515625" style="1" customWidth="1"/>
    <col min="5385" max="5385" width="18.85546875" style="1" customWidth="1"/>
    <col min="5386" max="5386" width="21.140625" style="1" customWidth="1"/>
    <col min="5387" max="5387" width="20.5703125" style="1" customWidth="1"/>
    <col min="5388" max="5388" width="14.140625" style="1" customWidth="1"/>
    <col min="5389" max="5389" width="21.28515625" style="1" customWidth="1"/>
    <col min="5390" max="5391" width="12.140625" style="1" customWidth="1"/>
    <col min="5392" max="5392" width="13.5703125" style="1" bestFit="1" customWidth="1"/>
    <col min="5393" max="5637" width="8.85546875" style="1"/>
    <col min="5638" max="5638" width="51.42578125" style="1" customWidth="1"/>
    <col min="5639" max="5639" width="14.42578125" style="1" bestFit="1" customWidth="1"/>
    <col min="5640" max="5640" width="11.28515625" style="1" customWidth="1"/>
    <col min="5641" max="5641" width="18.85546875" style="1" customWidth="1"/>
    <col min="5642" max="5642" width="21.140625" style="1" customWidth="1"/>
    <col min="5643" max="5643" width="20.5703125" style="1" customWidth="1"/>
    <col min="5644" max="5644" width="14.140625" style="1" customWidth="1"/>
    <col min="5645" max="5645" width="21.28515625" style="1" customWidth="1"/>
    <col min="5646" max="5647" width="12.140625" style="1" customWidth="1"/>
    <col min="5648" max="5648" width="13.5703125" style="1" bestFit="1" customWidth="1"/>
    <col min="5649" max="5893" width="8.85546875" style="1"/>
    <col min="5894" max="5894" width="51.42578125" style="1" customWidth="1"/>
    <col min="5895" max="5895" width="14.42578125" style="1" bestFit="1" customWidth="1"/>
    <col min="5896" max="5896" width="11.28515625" style="1" customWidth="1"/>
    <col min="5897" max="5897" width="18.85546875" style="1" customWidth="1"/>
    <col min="5898" max="5898" width="21.140625" style="1" customWidth="1"/>
    <col min="5899" max="5899" width="20.5703125" style="1" customWidth="1"/>
    <col min="5900" max="5900" width="14.140625" style="1" customWidth="1"/>
    <col min="5901" max="5901" width="21.28515625" style="1" customWidth="1"/>
    <col min="5902" max="5903" width="12.140625" style="1" customWidth="1"/>
    <col min="5904" max="5904" width="13.5703125" style="1" bestFit="1" customWidth="1"/>
    <col min="5905" max="6149" width="8.85546875" style="1"/>
    <col min="6150" max="6150" width="51.42578125" style="1" customWidth="1"/>
    <col min="6151" max="6151" width="14.42578125" style="1" bestFit="1" customWidth="1"/>
    <col min="6152" max="6152" width="11.28515625" style="1" customWidth="1"/>
    <col min="6153" max="6153" width="18.85546875" style="1" customWidth="1"/>
    <col min="6154" max="6154" width="21.140625" style="1" customWidth="1"/>
    <col min="6155" max="6155" width="20.5703125" style="1" customWidth="1"/>
    <col min="6156" max="6156" width="14.140625" style="1" customWidth="1"/>
    <col min="6157" max="6157" width="21.28515625" style="1" customWidth="1"/>
    <col min="6158" max="6159" width="12.140625" style="1" customWidth="1"/>
    <col min="6160" max="6160" width="13.5703125" style="1" bestFit="1" customWidth="1"/>
    <col min="6161" max="6405" width="8.85546875" style="1"/>
    <col min="6406" max="6406" width="51.42578125" style="1" customWidth="1"/>
    <col min="6407" max="6407" width="14.42578125" style="1" bestFit="1" customWidth="1"/>
    <col min="6408" max="6408" width="11.28515625" style="1" customWidth="1"/>
    <col min="6409" max="6409" width="18.85546875" style="1" customWidth="1"/>
    <col min="6410" max="6410" width="21.140625" style="1" customWidth="1"/>
    <col min="6411" max="6411" width="20.5703125" style="1" customWidth="1"/>
    <col min="6412" max="6412" width="14.140625" style="1" customWidth="1"/>
    <col min="6413" max="6413" width="21.28515625" style="1" customWidth="1"/>
    <col min="6414" max="6415" width="12.140625" style="1" customWidth="1"/>
    <col min="6416" max="6416" width="13.5703125" style="1" bestFit="1" customWidth="1"/>
    <col min="6417" max="6661" width="8.85546875" style="1"/>
    <col min="6662" max="6662" width="51.42578125" style="1" customWidth="1"/>
    <col min="6663" max="6663" width="14.42578125" style="1" bestFit="1" customWidth="1"/>
    <col min="6664" max="6664" width="11.28515625" style="1" customWidth="1"/>
    <col min="6665" max="6665" width="18.85546875" style="1" customWidth="1"/>
    <col min="6666" max="6666" width="21.140625" style="1" customWidth="1"/>
    <col min="6667" max="6667" width="20.5703125" style="1" customWidth="1"/>
    <col min="6668" max="6668" width="14.140625" style="1" customWidth="1"/>
    <col min="6669" max="6669" width="21.28515625" style="1" customWidth="1"/>
    <col min="6670" max="6671" width="12.140625" style="1" customWidth="1"/>
    <col min="6672" max="6672" width="13.5703125" style="1" bestFit="1" customWidth="1"/>
    <col min="6673" max="6917" width="8.85546875" style="1"/>
    <col min="6918" max="6918" width="51.42578125" style="1" customWidth="1"/>
    <col min="6919" max="6919" width="14.42578125" style="1" bestFit="1" customWidth="1"/>
    <col min="6920" max="6920" width="11.28515625" style="1" customWidth="1"/>
    <col min="6921" max="6921" width="18.85546875" style="1" customWidth="1"/>
    <col min="6922" max="6922" width="21.140625" style="1" customWidth="1"/>
    <col min="6923" max="6923" width="20.5703125" style="1" customWidth="1"/>
    <col min="6924" max="6924" width="14.140625" style="1" customWidth="1"/>
    <col min="6925" max="6925" width="21.28515625" style="1" customWidth="1"/>
    <col min="6926" max="6927" width="12.140625" style="1" customWidth="1"/>
    <col min="6928" max="6928" width="13.5703125" style="1" bestFit="1" customWidth="1"/>
    <col min="6929" max="7173" width="8.85546875" style="1"/>
    <col min="7174" max="7174" width="51.42578125" style="1" customWidth="1"/>
    <col min="7175" max="7175" width="14.42578125" style="1" bestFit="1" customWidth="1"/>
    <col min="7176" max="7176" width="11.28515625" style="1" customWidth="1"/>
    <col min="7177" max="7177" width="18.85546875" style="1" customWidth="1"/>
    <col min="7178" max="7178" width="21.140625" style="1" customWidth="1"/>
    <col min="7179" max="7179" width="20.5703125" style="1" customWidth="1"/>
    <col min="7180" max="7180" width="14.140625" style="1" customWidth="1"/>
    <col min="7181" max="7181" width="21.28515625" style="1" customWidth="1"/>
    <col min="7182" max="7183" width="12.140625" style="1" customWidth="1"/>
    <col min="7184" max="7184" width="13.5703125" style="1" bestFit="1" customWidth="1"/>
    <col min="7185" max="7429" width="8.85546875" style="1"/>
    <col min="7430" max="7430" width="51.42578125" style="1" customWidth="1"/>
    <col min="7431" max="7431" width="14.42578125" style="1" bestFit="1" customWidth="1"/>
    <col min="7432" max="7432" width="11.28515625" style="1" customWidth="1"/>
    <col min="7433" max="7433" width="18.85546875" style="1" customWidth="1"/>
    <col min="7434" max="7434" width="21.140625" style="1" customWidth="1"/>
    <col min="7435" max="7435" width="20.5703125" style="1" customWidth="1"/>
    <col min="7436" max="7436" width="14.140625" style="1" customWidth="1"/>
    <col min="7437" max="7437" width="21.28515625" style="1" customWidth="1"/>
    <col min="7438" max="7439" width="12.140625" style="1" customWidth="1"/>
    <col min="7440" max="7440" width="13.5703125" style="1" bestFit="1" customWidth="1"/>
    <col min="7441" max="7685" width="8.85546875" style="1"/>
    <col min="7686" max="7686" width="51.42578125" style="1" customWidth="1"/>
    <col min="7687" max="7687" width="14.42578125" style="1" bestFit="1" customWidth="1"/>
    <col min="7688" max="7688" width="11.28515625" style="1" customWidth="1"/>
    <col min="7689" max="7689" width="18.85546875" style="1" customWidth="1"/>
    <col min="7690" max="7690" width="21.140625" style="1" customWidth="1"/>
    <col min="7691" max="7691" width="20.5703125" style="1" customWidth="1"/>
    <col min="7692" max="7692" width="14.140625" style="1" customWidth="1"/>
    <col min="7693" max="7693" width="21.28515625" style="1" customWidth="1"/>
    <col min="7694" max="7695" width="12.140625" style="1" customWidth="1"/>
    <col min="7696" max="7696" width="13.5703125" style="1" bestFit="1" customWidth="1"/>
    <col min="7697" max="7941" width="8.85546875" style="1"/>
    <col min="7942" max="7942" width="51.42578125" style="1" customWidth="1"/>
    <col min="7943" max="7943" width="14.42578125" style="1" bestFit="1" customWidth="1"/>
    <col min="7944" max="7944" width="11.28515625" style="1" customWidth="1"/>
    <col min="7945" max="7945" width="18.85546875" style="1" customWidth="1"/>
    <col min="7946" max="7946" width="21.140625" style="1" customWidth="1"/>
    <col min="7947" max="7947" width="20.5703125" style="1" customWidth="1"/>
    <col min="7948" max="7948" width="14.140625" style="1" customWidth="1"/>
    <col min="7949" max="7949" width="21.28515625" style="1" customWidth="1"/>
    <col min="7950" max="7951" width="12.140625" style="1" customWidth="1"/>
    <col min="7952" max="7952" width="13.5703125" style="1" bestFit="1" customWidth="1"/>
    <col min="7953" max="8197" width="8.85546875" style="1"/>
    <col min="8198" max="8198" width="51.42578125" style="1" customWidth="1"/>
    <col min="8199" max="8199" width="14.42578125" style="1" bestFit="1" customWidth="1"/>
    <col min="8200" max="8200" width="11.28515625" style="1" customWidth="1"/>
    <col min="8201" max="8201" width="18.85546875" style="1" customWidth="1"/>
    <col min="8202" max="8202" width="21.140625" style="1" customWidth="1"/>
    <col min="8203" max="8203" width="20.5703125" style="1" customWidth="1"/>
    <col min="8204" max="8204" width="14.140625" style="1" customWidth="1"/>
    <col min="8205" max="8205" width="21.28515625" style="1" customWidth="1"/>
    <col min="8206" max="8207" width="12.140625" style="1" customWidth="1"/>
    <col min="8208" max="8208" width="13.5703125" style="1" bestFit="1" customWidth="1"/>
    <col min="8209" max="8453" width="8.85546875" style="1"/>
    <col min="8454" max="8454" width="51.42578125" style="1" customWidth="1"/>
    <col min="8455" max="8455" width="14.42578125" style="1" bestFit="1" customWidth="1"/>
    <col min="8456" max="8456" width="11.28515625" style="1" customWidth="1"/>
    <col min="8457" max="8457" width="18.85546875" style="1" customWidth="1"/>
    <col min="8458" max="8458" width="21.140625" style="1" customWidth="1"/>
    <col min="8459" max="8459" width="20.5703125" style="1" customWidth="1"/>
    <col min="8460" max="8460" width="14.140625" style="1" customWidth="1"/>
    <col min="8461" max="8461" width="21.28515625" style="1" customWidth="1"/>
    <col min="8462" max="8463" width="12.140625" style="1" customWidth="1"/>
    <col min="8464" max="8464" width="13.5703125" style="1" bestFit="1" customWidth="1"/>
    <col min="8465" max="8709" width="8.85546875" style="1"/>
    <col min="8710" max="8710" width="51.42578125" style="1" customWidth="1"/>
    <col min="8711" max="8711" width="14.42578125" style="1" bestFit="1" customWidth="1"/>
    <col min="8712" max="8712" width="11.28515625" style="1" customWidth="1"/>
    <col min="8713" max="8713" width="18.85546875" style="1" customWidth="1"/>
    <col min="8714" max="8714" width="21.140625" style="1" customWidth="1"/>
    <col min="8715" max="8715" width="20.5703125" style="1" customWidth="1"/>
    <col min="8716" max="8716" width="14.140625" style="1" customWidth="1"/>
    <col min="8717" max="8717" width="21.28515625" style="1" customWidth="1"/>
    <col min="8718" max="8719" width="12.140625" style="1" customWidth="1"/>
    <col min="8720" max="8720" width="13.5703125" style="1" bestFit="1" customWidth="1"/>
    <col min="8721" max="8965" width="8.85546875" style="1"/>
    <col min="8966" max="8966" width="51.42578125" style="1" customWidth="1"/>
    <col min="8967" max="8967" width="14.42578125" style="1" bestFit="1" customWidth="1"/>
    <col min="8968" max="8968" width="11.28515625" style="1" customWidth="1"/>
    <col min="8969" max="8969" width="18.85546875" style="1" customWidth="1"/>
    <col min="8970" max="8970" width="21.140625" style="1" customWidth="1"/>
    <col min="8971" max="8971" width="20.5703125" style="1" customWidth="1"/>
    <col min="8972" max="8972" width="14.140625" style="1" customWidth="1"/>
    <col min="8973" max="8973" width="21.28515625" style="1" customWidth="1"/>
    <col min="8974" max="8975" width="12.140625" style="1" customWidth="1"/>
    <col min="8976" max="8976" width="13.5703125" style="1" bestFit="1" customWidth="1"/>
    <col min="8977" max="9221" width="8.85546875" style="1"/>
    <col min="9222" max="9222" width="51.42578125" style="1" customWidth="1"/>
    <col min="9223" max="9223" width="14.42578125" style="1" bestFit="1" customWidth="1"/>
    <col min="9224" max="9224" width="11.28515625" style="1" customWidth="1"/>
    <col min="9225" max="9225" width="18.85546875" style="1" customWidth="1"/>
    <col min="9226" max="9226" width="21.140625" style="1" customWidth="1"/>
    <col min="9227" max="9227" width="20.5703125" style="1" customWidth="1"/>
    <col min="9228" max="9228" width="14.140625" style="1" customWidth="1"/>
    <col min="9229" max="9229" width="21.28515625" style="1" customWidth="1"/>
    <col min="9230" max="9231" width="12.140625" style="1" customWidth="1"/>
    <col min="9232" max="9232" width="13.5703125" style="1" bestFit="1" customWidth="1"/>
    <col min="9233" max="9477" width="8.85546875" style="1"/>
    <col min="9478" max="9478" width="51.42578125" style="1" customWidth="1"/>
    <col min="9479" max="9479" width="14.42578125" style="1" bestFit="1" customWidth="1"/>
    <col min="9480" max="9480" width="11.28515625" style="1" customWidth="1"/>
    <col min="9481" max="9481" width="18.85546875" style="1" customWidth="1"/>
    <col min="9482" max="9482" width="21.140625" style="1" customWidth="1"/>
    <col min="9483" max="9483" width="20.5703125" style="1" customWidth="1"/>
    <col min="9484" max="9484" width="14.140625" style="1" customWidth="1"/>
    <col min="9485" max="9485" width="21.28515625" style="1" customWidth="1"/>
    <col min="9486" max="9487" width="12.140625" style="1" customWidth="1"/>
    <col min="9488" max="9488" width="13.5703125" style="1" bestFit="1" customWidth="1"/>
    <col min="9489" max="9733" width="8.85546875" style="1"/>
    <col min="9734" max="9734" width="51.42578125" style="1" customWidth="1"/>
    <col min="9735" max="9735" width="14.42578125" style="1" bestFit="1" customWidth="1"/>
    <col min="9736" max="9736" width="11.28515625" style="1" customWidth="1"/>
    <col min="9737" max="9737" width="18.85546875" style="1" customWidth="1"/>
    <col min="9738" max="9738" width="21.140625" style="1" customWidth="1"/>
    <col min="9739" max="9739" width="20.5703125" style="1" customWidth="1"/>
    <col min="9740" max="9740" width="14.140625" style="1" customWidth="1"/>
    <col min="9741" max="9741" width="21.28515625" style="1" customWidth="1"/>
    <col min="9742" max="9743" width="12.140625" style="1" customWidth="1"/>
    <col min="9744" max="9744" width="13.5703125" style="1" bestFit="1" customWidth="1"/>
    <col min="9745" max="9989" width="8.85546875" style="1"/>
    <col min="9990" max="9990" width="51.42578125" style="1" customWidth="1"/>
    <col min="9991" max="9991" width="14.42578125" style="1" bestFit="1" customWidth="1"/>
    <col min="9992" max="9992" width="11.28515625" style="1" customWidth="1"/>
    <col min="9993" max="9993" width="18.85546875" style="1" customWidth="1"/>
    <col min="9994" max="9994" width="21.140625" style="1" customWidth="1"/>
    <col min="9995" max="9995" width="20.5703125" style="1" customWidth="1"/>
    <col min="9996" max="9996" width="14.140625" style="1" customWidth="1"/>
    <col min="9997" max="9997" width="21.28515625" style="1" customWidth="1"/>
    <col min="9998" max="9999" width="12.140625" style="1" customWidth="1"/>
    <col min="10000" max="10000" width="13.5703125" style="1" bestFit="1" customWidth="1"/>
    <col min="10001" max="10245" width="8.85546875" style="1"/>
    <col min="10246" max="10246" width="51.42578125" style="1" customWidth="1"/>
    <col min="10247" max="10247" width="14.42578125" style="1" bestFit="1" customWidth="1"/>
    <col min="10248" max="10248" width="11.28515625" style="1" customWidth="1"/>
    <col min="10249" max="10249" width="18.85546875" style="1" customWidth="1"/>
    <col min="10250" max="10250" width="21.140625" style="1" customWidth="1"/>
    <col min="10251" max="10251" width="20.5703125" style="1" customWidth="1"/>
    <col min="10252" max="10252" width="14.140625" style="1" customWidth="1"/>
    <col min="10253" max="10253" width="21.28515625" style="1" customWidth="1"/>
    <col min="10254" max="10255" width="12.140625" style="1" customWidth="1"/>
    <col min="10256" max="10256" width="13.5703125" style="1" bestFit="1" customWidth="1"/>
    <col min="10257" max="10501" width="8.85546875" style="1"/>
    <col min="10502" max="10502" width="51.42578125" style="1" customWidth="1"/>
    <col min="10503" max="10503" width="14.42578125" style="1" bestFit="1" customWidth="1"/>
    <col min="10504" max="10504" width="11.28515625" style="1" customWidth="1"/>
    <col min="10505" max="10505" width="18.85546875" style="1" customWidth="1"/>
    <col min="10506" max="10506" width="21.140625" style="1" customWidth="1"/>
    <col min="10507" max="10507" width="20.5703125" style="1" customWidth="1"/>
    <col min="10508" max="10508" width="14.140625" style="1" customWidth="1"/>
    <col min="10509" max="10509" width="21.28515625" style="1" customWidth="1"/>
    <col min="10510" max="10511" width="12.140625" style="1" customWidth="1"/>
    <col min="10512" max="10512" width="13.5703125" style="1" bestFit="1" customWidth="1"/>
    <col min="10513" max="10757" width="8.85546875" style="1"/>
    <col min="10758" max="10758" width="51.42578125" style="1" customWidth="1"/>
    <col min="10759" max="10759" width="14.42578125" style="1" bestFit="1" customWidth="1"/>
    <col min="10760" max="10760" width="11.28515625" style="1" customWidth="1"/>
    <col min="10761" max="10761" width="18.85546875" style="1" customWidth="1"/>
    <col min="10762" max="10762" width="21.140625" style="1" customWidth="1"/>
    <col min="10763" max="10763" width="20.5703125" style="1" customWidth="1"/>
    <col min="10764" max="10764" width="14.140625" style="1" customWidth="1"/>
    <col min="10765" max="10765" width="21.28515625" style="1" customWidth="1"/>
    <col min="10766" max="10767" width="12.140625" style="1" customWidth="1"/>
    <col min="10768" max="10768" width="13.5703125" style="1" bestFit="1" customWidth="1"/>
    <col min="10769" max="11013" width="8.85546875" style="1"/>
    <col min="11014" max="11014" width="51.42578125" style="1" customWidth="1"/>
    <col min="11015" max="11015" width="14.42578125" style="1" bestFit="1" customWidth="1"/>
    <col min="11016" max="11016" width="11.28515625" style="1" customWidth="1"/>
    <col min="11017" max="11017" width="18.85546875" style="1" customWidth="1"/>
    <col min="11018" max="11018" width="21.140625" style="1" customWidth="1"/>
    <col min="11019" max="11019" width="20.5703125" style="1" customWidth="1"/>
    <col min="11020" max="11020" width="14.140625" style="1" customWidth="1"/>
    <col min="11021" max="11021" width="21.28515625" style="1" customWidth="1"/>
    <col min="11022" max="11023" width="12.140625" style="1" customWidth="1"/>
    <col min="11024" max="11024" width="13.5703125" style="1" bestFit="1" customWidth="1"/>
    <col min="11025" max="11269" width="8.85546875" style="1"/>
    <col min="11270" max="11270" width="51.42578125" style="1" customWidth="1"/>
    <col min="11271" max="11271" width="14.42578125" style="1" bestFit="1" customWidth="1"/>
    <col min="11272" max="11272" width="11.28515625" style="1" customWidth="1"/>
    <col min="11273" max="11273" width="18.85546875" style="1" customWidth="1"/>
    <col min="11274" max="11274" width="21.140625" style="1" customWidth="1"/>
    <col min="11275" max="11275" width="20.5703125" style="1" customWidth="1"/>
    <col min="11276" max="11276" width="14.140625" style="1" customWidth="1"/>
    <col min="11277" max="11277" width="21.28515625" style="1" customWidth="1"/>
    <col min="11278" max="11279" width="12.140625" style="1" customWidth="1"/>
    <col min="11280" max="11280" width="13.5703125" style="1" bestFit="1" customWidth="1"/>
    <col min="11281" max="11525" width="8.85546875" style="1"/>
    <col min="11526" max="11526" width="51.42578125" style="1" customWidth="1"/>
    <col min="11527" max="11527" width="14.42578125" style="1" bestFit="1" customWidth="1"/>
    <col min="11528" max="11528" width="11.28515625" style="1" customWidth="1"/>
    <col min="11529" max="11529" width="18.85546875" style="1" customWidth="1"/>
    <col min="11530" max="11530" width="21.140625" style="1" customWidth="1"/>
    <col min="11531" max="11531" width="20.5703125" style="1" customWidth="1"/>
    <col min="11532" max="11532" width="14.140625" style="1" customWidth="1"/>
    <col min="11533" max="11533" width="21.28515625" style="1" customWidth="1"/>
    <col min="11534" max="11535" width="12.140625" style="1" customWidth="1"/>
    <col min="11536" max="11536" width="13.5703125" style="1" bestFit="1" customWidth="1"/>
    <col min="11537" max="11781" width="8.85546875" style="1"/>
    <col min="11782" max="11782" width="51.42578125" style="1" customWidth="1"/>
    <col min="11783" max="11783" width="14.42578125" style="1" bestFit="1" customWidth="1"/>
    <col min="11784" max="11784" width="11.28515625" style="1" customWidth="1"/>
    <col min="11785" max="11785" width="18.85546875" style="1" customWidth="1"/>
    <col min="11786" max="11786" width="21.140625" style="1" customWidth="1"/>
    <col min="11787" max="11787" width="20.5703125" style="1" customWidth="1"/>
    <col min="11788" max="11788" width="14.140625" style="1" customWidth="1"/>
    <col min="11789" max="11789" width="21.28515625" style="1" customWidth="1"/>
    <col min="11790" max="11791" width="12.140625" style="1" customWidth="1"/>
    <col min="11792" max="11792" width="13.5703125" style="1" bestFit="1" customWidth="1"/>
    <col min="11793" max="12037" width="8.85546875" style="1"/>
    <col min="12038" max="12038" width="51.42578125" style="1" customWidth="1"/>
    <col min="12039" max="12039" width="14.42578125" style="1" bestFit="1" customWidth="1"/>
    <col min="12040" max="12040" width="11.28515625" style="1" customWidth="1"/>
    <col min="12041" max="12041" width="18.85546875" style="1" customWidth="1"/>
    <col min="12042" max="12042" width="21.140625" style="1" customWidth="1"/>
    <col min="12043" max="12043" width="20.5703125" style="1" customWidth="1"/>
    <col min="12044" max="12044" width="14.140625" style="1" customWidth="1"/>
    <col min="12045" max="12045" width="21.28515625" style="1" customWidth="1"/>
    <col min="12046" max="12047" width="12.140625" style="1" customWidth="1"/>
    <col min="12048" max="12048" width="13.5703125" style="1" bestFit="1" customWidth="1"/>
    <col min="12049" max="12293" width="8.85546875" style="1"/>
    <col min="12294" max="12294" width="51.42578125" style="1" customWidth="1"/>
    <col min="12295" max="12295" width="14.42578125" style="1" bestFit="1" customWidth="1"/>
    <col min="12296" max="12296" width="11.28515625" style="1" customWidth="1"/>
    <col min="12297" max="12297" width="18.85546875" style="1" customWidth="1"/>
    <col min="12298" max="12298" width="21.140625" style="1" customWidth="1"/>
    <col min="12299" max="12299" width="20.5703125" style="1" customWidth="1"/>
    <col min="12300" max="12300" width="14.140625" style="1" customWidth="1"/>
    <col min="12301" max="12301" width="21.28515625" style="1" customWidth="1"/>
    <col min="12302" max="12303" width="12.140625" style="1" customWidth="1"/>
    <col min="12304" max="12304" width="13.5703125" style="1" bestFit="1" customWidth="1"/>
    <col min="12305" max="12549" width="8.85546875" style="1"/>
    <col min="12550" max="12550" width="51.42578125" style="1" customWidth="1"/>
    <col min="12551" max="12551" width="14.42578125" style="1" bestFit="1" customWidth="1"/>
    <col min="12552" max="12552" width="11.28515625" style="1" customWidth="1"/>
    <col min="12553" max="12553" width="18.85546875" style="1" customWidth="1"/>
    <col min="12554" max="12554" width="21.140625" style="1" customWidth="1"/>
    <col min="12555" max="12555" width="20.5703125" style="1" customWidth="1"/>
    <col min="12556" max="12556" width="14.140625" style="1" customWidth="1"/>
    <col min="12557" max="12557" width="21.28515625" style="1" customWidth="1"/>
    <col min="12558" max="12559" width="12.140625" style="1" customWidth="1"/>
    <col min="12560" max="12560" width="13.5703125" style="1" bestFit="1" customWidth="1"/>
    <col min="12561" max="12805" width="8.85546875" style="1"/>
    <col min="12806" max="12806" width="51.42578125" style="1" customWidth="1"/>
    <col min="12807" max="12807" width="14.42578125" style="1" bestFit="1" customWidth="1"/>
    <col min="12808" max="12808" width="11.28515625" style="1" customWidth="1"/>
    <col min="12809" max="12809" width="18.85546875" style="1" customWidth="1"/>
    <col min="12810" max="12810" width="21.140625" style="1" customWidth="1"/>
    <col min="12811" max="12811" width="20.5703125" style="1" customWidth="1"/>
    <col min="12812" max="12812" width="14.140625" style="1" customWidth="1"/>
    <col min="12813" max="12813" width="21.28515625" style="1" customWidth="1"/>
    <col min="12814" max="12815" width="12.140625" style="1" customWidth="1"/>
    <col min="12816" max="12816" width="13.5703125" style="1" bestFit="1" customWidth="1"/>
    <col min="12817" max="13061" width="8.85546875" style="1"/>
    <col min="13062" max="13062" width="51.42578125" style="1" customWidth="1"/>
    <col min="13063" max="13063" width="14.42578125" style="1" bestFit="1" customWidth="1"/>
    <col min="13064" max="13064" width="11.28515625" style="1" customWidth="1"/>
    <col min="13065" max="13065" width="18.85546875" style="1" customWidth="1"/>
    <col min="13066" max="13066" width="21.140625" style="1" customWidth="1"/>
    <col min="13067" max="13067" width="20.5703125" style="1" customWidth="1"/>
    <col min="13068" max="13068" width="14.140625" style="1" customWidth="1"/>
    <col min="13069" max="13069" width="21.28515625" style="1" customWidth="1"/>
    <col min="13070" max="13071" width="12.140625" style="1" customWidth="1"/>
    <col min="13072" max="13072" width="13.5703125" style="1" bestFit="1" customWidth="1"/>
    <col min="13073" max="13317" width="8.85546875" style="1"/>
    <col min="13318" max="13318" width="51.42578125" style="1" customWidth="1"/>
    <col min="13319" max="13319" width="14.42578125" style="1" bestFit="1" customWidth="1"/>
    <col min="13320" max="13320" width="11.28515625" style="1" customWidth="1"/>
    <col min="13321" max="13321" width="18.85546875" style="1" customWidth="1"/>
    <col min="13322" max="13322" width="21.140625" style="1" customWidth="1"/>
    <col min="13323" max="13323" width="20.5703125" style="1" customWidth="1"/>
    <col min="13324" max="13324" width="14.140625" style="1" customWidth="1"/>
    <col min="13325" max="13325" width="21.28515625" style="1" customWidth="1"/>
    <col min="13326" max="13327" width="12.140625" style="1" customWidth="1"/>
    <col min="13328" max="13328" width="13.5703125" style="1" bestFit="1" customWidth="1"/>
    <col min="13329" max="13573" width="8.85546875" style="1"/>
    <col min="13574" max="13574" width="51.42578125" style="1" customWidth="1"/>
    <col min="13575" max="13575" width="14.42578125" style="1" bestFit="1" customWidth="1"/>
    <col min="13576" max="13576" width="11.28515625" style="1" customWidth="1"/>
    <col min="13577" max="13577" width="18.85546875" style="1" customWidth="1"/>
    <col min="13578" max="13578" width="21.140625" style="1" customWidth="1"/>
    <col min="13579" max="13579" width="20.5703125" style="1" customWidth="1"/>
    <col min="13580" max="13580" width="14.140625" style="1" customWidth="1"/>
    <col min="13581" max="13581" width="21.28515625" style="1" customWidth="1"/>
    <col min="13582" max="13583" width="12.140625" style="1" customWidth="1"/>
    <col min="13584" max="13584" width="13.5703125" style="1" bestFit="1" customWidth="1"/>
    <col min="13585" max="13829" width="8.85546875" style="1"/>
    <col min="13830" max="13830" width="51.42578125" style="1" customWidth="1"/>
    <col min="13831" max="13831" width="14.42578125" style="1" bestFit="1" customWidth="1"/>
    <col min="13832" max="13832" width="11.28515625" style="1" customWidth="1"/>
    <col min="13833" max="13833" width="18.85546875" style="1" customWidth="1"/>
    <col min="13834" max="13834" width="21.140625" style="1" customWidth="1"/>
    <col min="13835" max="13835" width="20.5703125" style="1" customWidth="1"/>
    <col min="13836" max="13836" width="14.140625" style="1" customWidth="1"/>
    <col min="13837" max="13837" width="21.28515625" style="1" customWidth="1"/>
    <col min="13838" max="13839" width="12.140625" style="1" customWidth="1"/>
    <col min="13840" max="13840" width="13.5703125" style="1" bestFit="1" customWidth="1"/>
    <col min="13841" max="14085" width="8.85546875" style="1"/>
    <col min="14086" max="14086" width="51.42578125" style="1" customWidth="1"/>
    <col min="14087" max="14087" width="14.42578125" style="1" bestFit="1" customWidth="1"/>
    <col min="14088" max="14088" width="11.28515625" style="1" customWidth="1"/>
    <col min="14089" max="14089" width="18.85546875" style="1" customWidth="1"/>
    <col min="14090" max="14090" width="21.140625" style="1" customWidth="1"/>
    <col min="14091" max="14091" width="20.5703125" style="1" customWidth="1"/>
    <col min="14092" max="14092" width="14.140625" style="1" customWidth="1"/>
    <col min="14093" max="14093" width="21.28515625" style="1" customWidth="1"/>
    <col min="14094" max="14095" width="12.140625" style="1" customWidth="1"/>
    <col min="14096" max="14096" width="13.5703125" style="1" bestFit="1" customWidth="1"/>
    <col min="14097" max="14341" width="8.85546875" style="1"/>
    <col min="14342" max="14342" width="51.42578125" style="1" customWidth="1"/>
    <col min="14343" max="14343" width="14.42578125" style="1" bestFit="1" customWidth="1"/>
    <col min="14344" max="14344" width="11.28515625" style="1" customWidth="1"/>
    <col min="14345" max="14345" width="18.85546875" style="1" customWidth="1"/>
    <col min="14346" max="14346" width="21.140625" style="1" customWidth="1"/>
    <col min="14347" max="14347" width="20.5703125" style="1" customWidth="1"/>
    <col min="14348" max="14348" width="14.140625" style="1" customWidth="1"/>
    <col min="14349" max="14349" width="21.28515625" style="1" customWidth="1"/>
    <col min="14350" max="14351" width="12.140625" style="1" customWidth="1"/>
    <col min="14352" max="14352" width="13.5703125" style="1" bestFit="1" customWidth="1"/>
    <col min="14353" max="14597" width="8.85546875" style="1"/>
    <col min="14598" max="14598" width="51.42578125" style="1" customWidth="1"/>
    <col min="14599" max="14599" width="14.42578125" style="1" bestFit="1" customWidth="1"/>
    <col min="14600" max="14600" width="11.28515625" style="1" customWidth="1"/>
    <col min="14601" max="14601" width="18.85546875" style="1" customWidth="1"/>
    <col min="14602" max="14602" width="21.140625" style="1" customWidth="1"/>
    <col min="14603" max="14603" width="20.5703125" style="1" customWidth="1"/>
    <col min="14604" max="14604" width="14.140625" style="1" customWidth="1"/>
    <col min="14605" max="14605" width="21.28515625" style="1" customWidth="1"/>
    <col min="14606" max="14607" width="12.140625" style="1" customWidth="1"/>
    <col min="14608" max="14608" width="13.5703125" style="1" bestFit="1" customWidth="1"/>
    <col min="14609" max="14853" width="8.85546875" style="1"/>
    <col min="14854" max="14854" width="51.42578125" style="1" customWidth="1"/>
    <col min="14855" max="14855" width="14.42578125" style="1" bestFit="1" customWidth="1"/>
    <col min="14856" max="14856" width="11.28515625" style="1" customWidth="1"/>
    <col min="14857" max="14857" width="18.85546875" style="1" customWidth="1"/>
    <col min="14858" max="14858" width="21.140625" style="1" customWidth="1"/>
    <col min="14859" max="14859" width="20.5703125" style="1" customWidth="1"/>
    <col min="14860" max="14860" width="14.140625" style="1" customWidth="1"/>
    <col min="14861" max="14861" width="21.28515625" style="1" customWidth="1"/>
    <col min="14862" max="14863" width="12.140625" style="1" customWidth="1"/>
    <col min="14864" max="14864" width="13.5703125" style="1" bestFit="1" customWidth="1"/>
    <col min="14865" max="15109" width="8.85546875" style="1"/>
    <col min="15110" max="15110" width="51.42578125" style="1" customWidth="1"/>
    <col min="15111" max="15111" width="14.42578125" style="1" bestFit="1" customWidth="1"/>
    <col min="15112" max="15112" width="11.28515625" style="1" customWidth="1"/>
    <col min="15113" max="15113" width="18.85546875" style="1" customWidth="1"/>
    <col min="15114" max="15114" width="21.140625" style="1" customWidth="1"/>
    <col min="15115" max="15115" width="20.5703125" style="1" customWidth="1"/>
    <col min="15116" max="15116" width="14.140625" style="1" customWidth="1"/>
    <col min="15117" max="15117" width="21.28515625" style="1" customWidth="1"/>
    <col min="15118" max="15119" width="12.140625" style="1" customWidth="1"/>
    <col min="15120" max="15120" width="13.5703125" style="1" bestFit="1" customWidth="1"/>
    <col min="15121" max="15365" width="8.85546875" style="1"/>
    <col min="15366" max="15366" width="51.42578125" style="1" customWidth="1"/>
    <col min="15367" max="15367" width="14.42578125" style="1" bestFit="1" customWidth="1"/>
    <col min="15368" max="15368" width="11.28515625" style="1" customWidth="1"/>
    <col min="15369" max="15369" width="18.85546875" style="1" customWidth="1"/>
    <col min="15370" max="15370" width="21.140625" style="1" customWidth="1"/>
    <col min="15371" max="15371" width="20.5703125" style="1" customWidth="1"/>
    <col min="15372" max="15372" width="14.140625" style="1" customWidth="1"/>
    <col min="15373" max="15373" width="21.28515625" style="1" customWidth="1"/>
    <col min="15374" max="15375" width="12.140625" style="1" customWidth="1"/>
    <col min="15376" max="15376" width="13.5703125" style="1" bestFit="1" customWidth="1"/>
    <col min="15377" max="15621" width="8.85546875" style="1"/>
    <col min="15622" max="15622" width="51.42578125" style="1" customWidth="1"/>
    <col min="15623" max="15623" width="14.42578125" style="1" bestFit="1" customWidth="1"/>
    <col min="15624" max="15624" width="11.28515625" style="1" customWidth="1"/>
    <col min="15625" max="15625" width="18.85546875" style="1" customWidth="1"/>
    <col min="15626" max="15626" width="21.140625" style="1" customWidth="1"/>
    <col min="15627" max="15627" width="20.5703125" style="1" customWidth="1"/>
    <col min="15628" max="15628" width="14.140625" style="1" customWidth="1"/>
    <col min="15629" max="15629" width="21.28515625" style="1" customWidth="1"/>
    <col min="15630" max="15631" width="12.140625" style="1" customWidth="1"/>
    <col min="15632" max="15632" width="13.5703125" style="1" bestFit="1" customWidth="1"/>
    <col min="15633" max="15877" width="8.85546875" style="1"/>
    <col min="15878" max="15878" width="51.42578125" style="1" customWidth="1"/>
    <col min="15879" max="15879" width="14.42578125" style="1" bestFit="1" customWidth="1"/>
    <col min="15880" max="15880" width="11.28515625" style="1" customWidth="1"/>
    <col min="15881" max="15881" width="18.85546875" style="1" customWidth="1"/>
    <col min="15882" max="15882" width="21.140625" style="1" customWidth="1"/>
    <col min="15883" max="15883" width="20.5703125" style="1" customWidth="1"/>
    <col min="15884" max="15884" width="14.140625" style="1" customWidth="1"/>
    <col min="15885" max="15885" width="21.28515625" style="1" customWidth="1"/>
    <col min="15886" max="15887" width="12.140625" style="1" customWidth="1"/>
    <col min="15888" max="15888" width="13.5703125" style="1" bestFit="1" customWidth="1"/>
    <col min="15889" max="16133" width="8.85546875" style="1"/>
    <col min="16134" max="16134" width="51.42578125" style="1" customWidth="1"/>
    <col min="16135" max="16135" width="14.42578125" style="1" bestFit="1" customWidth="1"/>
    <col min="16136" max="16136" width="11.28515625" style="1" customWidth="1"/>
    <col min="16137" max="16137" width="18.85546875" style="1" customWidth="1"/>
    <col min="16138" max="16138" width="21.140625" style="1" customWidth="1"/>
    <col min="16139" max="16139" width="20.5703125" style="1" customWidth="1"/>
    <col min="16140" max="16140" width="14.140625" style="1" customWidth="1"/>
    <col min="16141" max="16141" width="21.28515625" style="1" customWidth="1"/>
    <col min="16142" max="16143" width="12.140625" style="1" customWidth="1"/>
    <col min="16144" max="16144" width="13.5703125" style="1" bestFit="1" customWidth="1"/>
    <col min="16145" max="16384" width="8.85546875" style="1"/>
  </cols>
  <sheetData>
    <row r="1" spans="1:262" ht="16.5" thickBot="1" x14ac:dyDescent="0.3">
      <c r="A1" s="112"/>
      <c r="B1" s="110" t="s">
        <v>123</v>
      </c>
      <c r="C1" s="188">
        <f ca="1">TODAY()</f>
        <v>43781</v>
      </c>
      <c r="D1" s="111"/>
      <c r="E1" s="137" t="s">
        <v>122</v>
      </c>
      <c r="F1" s="111"/>
      <c r="G1" s="111"/>
      <c r="H1" s="111"/>
      <c r="I1" s="111"/>
      <c r="J1" s="111"/>
      <c r="K1" s="111"/>
      <c r="L1" s="111"/>
      <c r="M1" s="111"/>
      <c r="N1" s="111"/>
      <c r="O1" s="111"/>
      <c r="P1" s="111"/>
      <c r="Q1" s="111"/>
      <c r="R1" s="111"/>
      <c r="S1" s="245" t="s">
        <v>134</v>
      </c>
      <c r="T1" s="246"/>
      <c r="U1" s="111"/>
      <c r="W1" s="111"/>
      <c r="X1" s="111"/>
      <c r="JB1"/>
    </row>
    <row r="2" spans="1:262" ht="45" customHeight="1" x14ac:dyDescent="0.25">
      <c r="A2" s="112"/>
      <c r="B2" s="203" t="s">
        <v>144</v>
      </c>
      <c r="C2" s="160" t="s">
        <v>173</v>
      </c>
      <c r="D2" s="117"/>
      <c r="E2" s="218" t="s">
        <v>96</v>
      </c>
      <c r="F2" s="219" t="s">
        <v>97</v>
      </c>
      <c r="G2" s="219" t="s">
        <v>166</v>
      </c>
      <c r="H2" s="219" t="s">
        <v>111</v>
      </c>
      <c r="I2" s="219" t="s">
        <v>104</v>
      </c>
      <c r="J2" s="220" t="s">
        <v>153</v>
      </c>
      <c r="K2" s="219" t="s">
        <v>98</v>
      </c>
      <c r="L2" s="221" t="s">
        <v>156</v>
      </c>
      <c r="M2" s="219" t="s">
        <v>167</v>
      </c>
      <c r="N2" s="219" t="s">
        <v>168</v>
      </c>
      <c r="O2" s="219" t="s">
        <v>151</v>
      </c>
      <c r="P2" s="219" t="s">
        <v>145</v>
      </c>
      <c r="Q2" s="219" t="s">
        <v>149</v>
      </c>
      <c r="R2" s="219" t="s">
        <v>143</v>
      </c>
      <c r="S2" s="222" t="s">
        <v>136</v>
      </c>
      <c r="T2" s="223" t="s">
        <v>139</v>
      </c>
      <c r="U2" s="111"/>
      <c r="W2" s="111"/>
      <c r="X2" s="111"/>
    </row>
    <row r="3" spans="1:262" ht="15" customHeight="1" x14ac:dyDescent="0.25">
      <c r="A3" s="112"/>
      <c r="B3" s="204" t="s">
        <v>163</v>
      </c>
      <c r="C3" s="205" t="s">
        <v>172</v>
      </c>
      <c r="D3" s="117"/>
      <c r="E3" s="224"/>
      <c r="F3" s="140" t="s">
        <v>120</v>
      </c>
      <c r="G3" s="140" t="s">
        <v>120</v>
      </c>
      <c r="H3" s="141"/>
      <c r="I3" s="140"/>
      <c r="J3" s="190" t="str">
        <f t="shared" ref="J3:J8" ca="1" si="0">IF(I3="","", YEAR( TODAY())-I3)</f>
        <v/>
      </c>
      <c r="K3" s="140" t="s">
        <v>120</v>
      </c>
      <c r="L3" s="184" t="s">
        <v>5</v>
      </c>
      <c r="M3" s="142"/>
      <c r="N3" s="217" t="str">
        <f>IF(M3="","",IF(OR(K3="Small",F3="YES"),M3,IF(M3+R3+HLOOKUP(K3,'Maximum Capital Rates - School'!$A$2:$F$14,6,FALSE)&gt;W3,W3,M3+R3+HLOOKUP(K3,'Maximum Capital Rates - School'!$A$2:$F$14,6,FALSE))))</f>
        <v/>
      </c>
      <c r="O3" s="184" t="s">
        <v>5</v>
      </c>
      <c r="P3" s="142" t="s">
        <v>5</v>
      </c>
      <c r="Q3" s="142"/>
      <c r="R3" s="142"/>
      <c r="S3" s="150">
        <f>IF($C$3="Novation",U3,IFERROR((IF(OR(E3="",M3=""),0,IF(F3="YES",IF(H3&gt;5, IF(AND(C$2="Special Needs Bus Service",J3&gt;10,J3&lt;16),9560.23,IF(AND(K3="Small",J3&gt;10),0,IF(J3&lt;26,H3,0))),IF(AND(K3="Small",G3="Urban/Town",J3&lt;16),H3*7360,IF(AND(K3="Small",J3&lt;11),H3*7360,IF(AND(K3="Medium",K3="Large",K3="X-Large",G3="Urban/Town",J3&lt;28),H3*10304,IF(AND(K3="Medium",J3&lt;21),H3*10304,IF(AND(K3="Medium",J3=21),'Maximum Capital Rates - School'!N$50,IF(AND(K3="Medium",J3=22),'Maximum Capital Rates - School'!N$51,IF(AND(K3="Large",J3&lt;21),H3*14720,IF(AND(K3="Large",J3=21),'Maximum Capital Rates - School'!Q$50,IF(AND(K3="Large",J3=22),'Maximum Capital Rates - School'!Q$51,IF(AND(K3="X-Large",J3&lt;21),H3*17664,IF(AND(K3="X-Large",J3=21),'Maximum Capital Rates - School'!T$50,IF(AND(K3="X-Large",J3=22),'Maximum Capital Rates - School'!T$51,IF(AND(K3="Artic",J3&lt;31),H3*20608,IF("FALSE",0,))))))))))))))),IF(AND(K3="Artic",J3&gt;25),0,IF(J3&gt;20,0,IF(PMT(HLOOKUP(K3,'Maximum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School'!H$18:W$44,14,FALSE))))))),-(M3+R3+IF(P3="YES",IF(IF(K3="Small",VLOOKUP(J3,'Maximum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School'!B$2:F$14,6,FALSE)),HLOOKUP(K3,'Maximum Capital Rates - School'!B$2:F$14,8,FALSE),0)+IF(K3="Small",0,VLOOKUP(J3,'Maximum Capital Rates - School'!A$18:G$44,7,FALSE))&gt;PMT(HLOOKUP(K3,'Maximum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School'!H$18:W$44,14,FALSE))))))),-(HLOOKUP(K3,'Maximum Capital Rates - School'!A$18:F$44,J3+2,FALSE)+IF(AND(K3="Small",L3="YES"),IF(J3=0,10000,0),0)+R3+IF(P3="YES",IF(IF(K3="Small",VLOOKUP(J3,'Maximum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School'!B$2:F$14,8,FALSE),0)+IF(K3="Small",0,VLOOKUP(J3,'Maximum Capital Rates - School'!A$18:G$44,7,FALSE)),PMT(HLOOKUP(K3,'Maximum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School'!H$18:W$44,14,FALSE))))))),-(HLOOKUP(K3,'Maximum Capital Rates - School'!A$18:F$44,J3+2,FALSE)+IF(AND(K3="Small",L3="YES"),IF(J3=0,10000,0),0)+R3+IF(P3="YES",IF(IF(K3="Small",VLOOKUP(J3,'Maximum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School'!B$2:F$14,8,FALSE),0)+IF(K3="Small",0,VLOOKUP(J3,'Maximum Capital Rates - School'!A$18:G$44,7,FALSE)),(PMT(HLOOKUP(K3,'Maximum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School'!H$18:W$44,14,FALSE))))))),-(M3+R3+IF(P3="YES",IF(IF(K3="Small",VLOOKUP(J3,'Maximum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School'!B$2:F$14,6,FALSE)),HLOOKUP(K3,'Maximum Capital Rates - School'!B$2:F$14,8,FALSE),0)+IF(K3="Small",0,VLOOKUP(J3,'Maximum Capital Rates - School'!A$18:G$44,7,FALSE))))))))),0))</f>
        <v>0</v>
      </c>
      <c r="T3" s="225">
        <f>IF(N3="",0,IF(K3="Small",Sheet1!E$3,Sheet1!D$3)+Sheet1!D$4+IF(C$7="Yes",500,0)+IF(O3="Yes",Sheet1!D$9,0)+IF(N3*Sheet1!C$5&lt;1046,1046*(1+Sheet1!C$66),IF(AND(F3="YES",N3&gt;Sheet1!E$5),(Sheet1!E$5*Sheet1!C$5)*(1+Sheet1!C$66),(N3*Sheet1!C$5)*(1+Sheet1!C$66)))+IF(J3&gt;Sheet1!C$6,2,1)*(Sheet1!D$6))</f>
        <v>0</v>
      </c>
      <c r="U3" s="111" t="e">
        <f ca="1">IF(H3&gt;IF(PMT(HLOOKUP(K3,'Maximum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School'!H$18:W$44,14,FALSE))))))),-(M3+R3+IF(P3="YES",IF(IF(K3="Small",VLOOKUP(J3,'Maximum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School'!B$2:F$14,6,FALSE)),HLOOKUP(K3,'Maximum Capital Rates - School'!B$2:F$14,8,FALSE),0)+IF(K3="Small",0,VLOOKUP(J3,'Maximum Capital Rates - School'!A$18:G$44,7,FALSE))&gt;PMT(HLOOKUP(K3,'Maximum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School'!H$18:W$44,14,FALSE))))))),-(HLOOKUP(K3,'Maximum Capital Rates - School'!A$18:F$44,J3+2,FALSE)+IF(AND(K3="Small",L3="YES"),IF(J3=0,10000,0),0)+R3+IF(P3="YES",IF(IF(K3="Small",VLOOKUP(J3,'Maximum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School'!B$2:F$14,8,FALSE),0)+IF(K3="Small",0,VLOOKUP(J3,'Maximum Capital Rates - School'!A$18:G$44,7,FALSE)),PMT(HLOOKUP(K3,'Maximum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School'!H$18:W$44,14,FALSE))))))),-(HLOOKUP(K3,'Maximum Capital Rates - School'!A$18:F$44,J3+2,FALSE)+IF(AND(K3="Small",L3="YES"),IF(J3=0,10000,0),0)+R3+IF(P3="YES",IF(IF(K3="Small",VLOOKUP(J3,'Maximum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School'!B$2:F$14,8,FALSE),0)+IF(K3="Small",0,VLOOKUP(J3,'Maximum Capital Rates - School'!A$18:G$44,7,FALSE)),(PMT(HLOOKUP(K3,'Maximum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School'!H$18:W$44,14,FALSE))))))),-(M3+R3+IF(P3="YES",IF(IF(K3="Small",VLOOKUP(J3,'Maximum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School'!B$2:F$14,6,FALSE)),HLOOKUP(K3,'Maximum Capital Rates - School'!B$2:F$14,8,FALSE),0)+IF(K3="Small",0,VLOOKUP(J3,'Maximum Capital Rates - School'!A$18:G$44,7,FALSE)))),V3,H3)</f>
        <v>#N/A</v>
      </c>
      <c r="V3" s="130" t="e">
        <f ca="1">IF(PMT(HLOOKUP(K3,'Maximum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School'!H$18:W$44,14,FALSE))))))),-(M3+R3+IF(P3="YES",IF(IF(K3="Small",VLOOKUP(J3,'Maximum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School'!B$2:F$14,6,FALSE)),HLOOKUP(K3,'Maximum Capital Rates - School'!B$2:F$14,8,FALSE),0)+IF(K3="Small",0,VLOOKUP(J3,'Maximum Capital Rates - School'!A$18:G$44,7,FALSE))&gt;PMT(HLOOKUP(K3,'Maximum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School'!H$18:W$44,14,FALSE))))))),-(HLOOKUP(K3,'Maximum Capital Rates - School'!A$18:F$44,J3+2,FALSE)+IF(AND(K3="Small",L3="YES"),IF(J3=0,10000,0),0)+R3+IF(P3="YES",IF(IF(K3="Small",VLOOKUP(J3,'Maximum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School'!B$2:F$14,8,FALSE),0)+IF(K3="Small",0,VLOOKUP(J3,'Maximum Capital Rates - School'!A$18:G$44,7,FALSE)),PMT(HLOOKUP(K3,'Maximum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School'!H$18:W$44,14,FALSE))))))),-(HLOOKUP(K3,'Maximum Capital Rates - School'!A$18:F$44,J3+2,FALSE)+IF(AND(K3="Small",L3="YES"),IF(J3=0,10000,0),0)+R3+IF(P3="YES",IF(IF(K3="Small",VLOOKUP(J3,'Maximum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School'!B$2:F$14,8,FALSE),0)+IF(K3="Small",0,VLOOKUP(J3,'Maximum Capital Rates - School'!A$18:G$44,7,FALSE)),(PMT(HLOOKUP(K3,'Maximum Capital Rates - School'!B$2:F$14,13,FALSE),(IF(K3="Small",VLOOKUP(J3,'Maximum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School'!H$18:W$44,14,FALSE))))))),-(M3+R3+IF(P3="YES",IF(IF(K3="Small",VLOOKUP(J3,'Maximum Capital Rates - School'!H$18:W$44,2,FALSE),IF(K3="Medium",VLOOKUP(J3,'Maximum Capital Rates - School'!H$18:W$44,5,FALSE),IF(K3="Large",VLOOKUP(J3,'Maximum Capital Rates - School'!H$18:W$44,8,FALSE),IF(K3="X-Large",VLOOKUP(J3,'Maximum Capital Rates - School'!H$18:W$44,11,FALSE),IF(K3="Artic",VLOOKUP(J3,'Maximum Capital Rates - School'!H$18:W$44,14,FALSE))))))&gt;4,Q3,0),0)+HLOOKUP(K3,'Maximum Capital Rates - School'!B$2:F$14,6,FALSE)),HLOOKUP(K3,'Maximum Capital Rates - School'!B$2:F$14,8,FALSE),0)+IF(K3="Small",0,VLOOKUP(J3,'Maximum Capital Rates - School'!A$18:G$44,7,FALSE))))</f>
        <v>#N/A</v>
      </c>
      <c r="W3" s="1">
        <f>IF(F3="YES",200000,IF(K3="Small",VLOOKUP(J3,'Maximum Capital Rates - School'!A$18:F$44,2,FALSE),IF(K3="Medium",VLOOKUP(J3,'Maximum Capital Rates - School'!A$18:F$44,3,FALSE),IF(K3="Large",VLOOKUP(J3,'Maximum Capital Rates - School'!A$18:F$44,4,FALSE),IF(K3="X-Large",VLOOKUP(J3,'Maximum Capital Rates - School'!A$18:F$44,5,FALSE),IF(K3="Artic",VLOOKUP(J3,'Maximum Capital Rates - School'!A$18:F$44,6,FALSE)))))) +IF(AND(K3="Small",L3="YES"),IF(J3=0,10000,0),0))</f>
        <v>0</v>
      </c>
      <c r="X3" s="111"/>
    </row>
    <row r="4" spans="1:262" x14ac:dyDescent="0.25">
      <c r="A4" s="112"/>
      <c r="B4" s="161" t="s">
        <v>63</v>
      </c>
      <c r="C4" s="162" t="s">
        <v>120</v>
      </c>
      <c r="D4" s="117"/>
      <c r="E4" s="226"/>
      <c r="F4" s="140" t="s">
        <v>120</v>
      </c>
      <c r="G4" s="140" t="s">
        <v>120</v>
      </c>
      <c r="H4" s="141"/>
      <c r="I4" s="140"/>
      <c r="J4" s="190" t="str">
        <f t="shared" ca="1" si="0"/>
        <v/>
      </c>
      <c r="K4" s="140" t="s">
        <v>120</v>
      </c>
      <c r="L4" s="184" t="s">
        <v>5</v>
      </c>
      <c r="M4" s="142"/>
      <c r="N4" s="217" t="str">
        <f>IF(M4="","",IF(OR(K4="Small",F4="YES"),M4,IF(M4+R4+HLOOKUP(K4,'Maximum Capital Rates - School'!$A$2:$F$14,6,FALSE)&gt;W4,W4,M4+R4+HLOOKUP(K4,'Maximum Capital Rates - School'!$A$2:$F$14,6,FALSE))))</f>
        <v/>
      </c>
      <c r="O4" s="184" t="s">
        <v>5</v>
      </c>
      <c r="P4" s="142" t="s">
        <v>5</v>
      </c>
      <c r="Q4" s="142"/>
      <c r="R4" s="142"/>
      <c r="S4" s="150">
        <f>IF($C$3="Novation",U4,IFERROR((IF(OR(E4="",M4=""),0,IF(F4="YES",IF(H4&gt;5, IF(AND(C$2="Special Needs Bus Service",J4&gt;10,J4&lt;16),9560.23,IF(AND(K4="Small",J4&gt;10),0,IF(J4&lt;26,H4,0))),IF(AND(K4="Small",G4="Urban/Town",J4&lt;16),H4*7360,IF(AND(K4="Small",J4&lt;11),H4*7360,IF(AND(K4="Medium",K4="Large",K4="X-Large",G4="Urban/Town",J4&lt;28),H4*10304,IF(AND(K4="Medium",J4&lt;21),H4*10304,IF(AND(K4="Medium",J4=21),'Maximum Capital Rates - School'!N$50,IF(AND(K4="Medium",J4=22),'Maximum Capital Rates - School'!N$51,IF(AND(K4="Large",J4&lt;21),H4*14720,IF(AND(K4="Large",J4=21),'Maximum Capital Rates - School'!Q$50,IF(AND(K4="Large",J4=22),'Maximum Capital Rates - School'!Q$51,IF(AND(K4="X-Large",J4&lt;21),H4*17664,IF(AND(K4="X-Large",J4=21),'Maximum Capital Rates - School'!T$50,IF(AND(K4="X-Large",J4=22),'Maximum Capital Rates - School'!T$51,IF(AND(K4="Artic",J4&lt;31),H4*20608,IF("FALSE",0,))))))))))))))),IF(AND(K4="Artic",J4&gt;25),0,IF(J4&gt;20,0,IF(PMT(HLOOKUP(K4,'Maximum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School'!H$18:W$44,14,FALSE))))))),-(M4+R4+IF(P4="YES",IF(IF(K4="Small",VLOOKUP(J4,'Maximum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School'!B$2:F$14,6,FALSE)),HLOOKUP(K4,'Maximum Capital Rates - School'!B$2:F$14,8,FALSE),0)+IF(K4="Small",0,VLOOKUP(J4,'Maximum Capital Rates - School'!A$18:G$44,7,FALSE))&gt;PMT(HLOOKUP(K4,'Maximum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School'!H$18:W$44,14,FALSE))))))),-(HLOOKUP(K4,'Maximum Capital Rates - School'!A$18:F$44,J4+2,FALSE)+IF(AND(K4="Small",L4="YES"),IF(J4=0,10000,0),0)+R4+IF(P4="YES",IF(IF(K4="Small",VLOOKUP(J4,'Maximum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School'!B$2:F$14,8,FALSE),0)+IF(K4="Small",0,VLOOKUP(J4,'Maximum Capital Rates - School'!A$18:G$44,7,FALSE)),PMT(HLOOKUP(K4,'Maximum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School'!H$18:W$44,14,FALSE))))))),-(HLOOKUP(K4,'Maximum Capital Rates - School'!A$18:F$44,J4+2,FALSE)+IF(AND(K4="Small",L4="YES"),IF(J4=0,10000,0),0)+R4+IF(P4="YES",IF(IF(K4="Small",VLOOKUP(J4,'Maximum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School'!B$2:F$14,8,FALSE),0)+IF(K4="Small",0,VLOOKUP(J4,'Maximum Capital Rates - School'!A$18:G$44,7,FALSE)),(PMT(HLOOKUP(K4,'Maximum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School'!H$18:W$44,14,FALSE))))))),-(M4+R4+IF(P4="YES",IF(IF(K4="Small",VLOOKUP(J4,'Maximum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School'!B$2:F$14,6,FALSE)),HLOOKUP(K4,'Maximum Capital Rates - School'!B$2:F$14,8,FALSE),0)+IF(K4="Small",0,VLOOKUP(J4,'Maximum Capital Rates - School'!A$18:G$44,7,FALSE))))))))),0))</f>
        <v>0</v>
      </c>
      <c r="T4" s="225">
        <f>IF(N4="",0,IF(K4="Small",Sheet1!E$3,Sheet1!D$3)+Sheet1!D$4+IF(C$7="Yes",500,0)+IF(O4="Yes",Sheet1!D$9,0)+IF(N4*Sheet1!C$5&lt;1046,1046*(1+Sheet1!C$66),IF(AND(F4="YES",N4&gt;Sheet1!E$5),(Sheet1!E$5*Sheet1!C$5)*(1+Sheet1!C$66),(N4*Sheet1!C$5)*(1+Sheet1!C$66)))+IF(J4&gt;Sheet1!C$6,2,1)*(Sheet1!D$6))</f>
        <v>0</v>
      </c>
      <c r="U4" s="111" t="e">
        <f ca="1">IF(H4&gt;IF(PMT(HLOOKUP(K4,'Maximum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School'!H$18:W$44,14,FALSE))))))),-(M4+R4+IF(P4="YES",IF(IF(K4="Small",VLOOKUP(J4,'Maximum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School'!B$2:F$14,6,FALSE)),HLOOKUP(K4,'Maximum Capital Rates - School'!B$2:F$14,8,FALSE),0)+IF(K4="Small",0,VLOOKUP(J4,'Maximum Capital Rates - School'!A$18:G$44,7,FALSE))&gt;PMT(HLOOKUP(K4,'Maximum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School'!H$18:W$44,14,FALSE))))))),-(HLOOKUP(K4,'Maximum Capital Rates - School'!A$18:F$44,J4+2,FALSE)+IF(AND(K4="Small",L4="YES"),IF(J4=0,10000,0),0)+R4+IF(P4="YES",IF(IF(K4="Small",VLOOKUP(J4,'Maximum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School'!B$2:F$14,8,FALSE),0)+IF(K4="Small",0,VLOOKUP(J4,'Maximum Capital Rates - School'!A$18:G$44,7,FALSE)),PMT(HLOOKUP(K4,'Maximum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School'!H$18:W$44,14,FALSE))))))),-(HLOOKUP(K4,'Maximum Capital Rates - School'!A$18:F$44,J4+2,FALSE)+IF(AND(K4="Small",L4="YES"),IF(J4=0,10000,0),0)+R4+IF(P4="YES",IF(IF(K4="Small",VLOOKUP(J4,'Maximum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School'!B$2:F$14,8,FALSE),0)+IF(K4="Small",0,VLOOKUP(J4,'Maximum Capital Rates - School'!A$18:G$44,7,FALSE)),(PMT(HLOOKUP(K4,'Maximum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School'!H$18:W$44,14,FALSE))))))),-(M4+R4+IF(P4="YES",IF(IF(K4="Small",VLOOKUP(J4,'Maximum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School'!B$2:F$14,6,FALSE)),HLOOKUP(K4,'Maximum Capital Rates - School'!B$2:F$14,8,FALSE),0)+IF(K4="Small",0,VLOOKUP(J4,'Maximum Capital Rates - School'!A$18:G$44,7,FALSE)))),V4,H4)</f>
        <v>#N/A</v>
      </c>
      <c r="V4" s="130" t="e">
        <f ca="1">IF(PMT(HLOOKUP(K4,'Maximum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School'!H$18:W$44,14,FALSE))))))),-(M4+R4+IF(P4="YES",IF(IF(K4="Small",VLOOKUP(J4,'Maximum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School'!B$2:F$14,6,FALSE)),HLOOKUP(K4,'Maximum Capital Rates - School'!B$2:F$14,8,FALSE),0)+IF(K4="Small",0,VLOOKUP(J4,'Maximum Capital Rates - School'!A$18:G$44,7,FALSE))&gt;PMT(HLOOKUP(K4,'Maximum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School'!H$18:W$44,14,FALSE))))))),-(HLOOKUP(K4,'Maximum Capital Rates - School'!A$18:F$44,J4+2,FALSE)+IF(AND(K4="Small",L4="YES"),IF(J4=0,10000,0),0)+R4+IF(P4="YES",IF(IF(K4="Small",VLOOKUP(J4,'Maximum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School'!B$2:F$14,8,FALSE),0)+IF(K4="Small",0,VLOOKUP(J4,'Maximum Capital Rates - School'!A$18:G$44,7,FALSE)),PMT(HLOOKUP(K4,'Maximum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School'!H$18:W$44,14,FALSE))))))),-(HLOOKUP(K4,'Maximum Capital Rates - School'!A$18:F$44,J4+2,FALSE)+IF(AND(K4="Small",L4="YES"),IF(J4=0,10000,0),0)+R4+IF(P4="YES",IF(IF(K4="Small",VLOOKUP(J4,'Maximum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School'!B$2:F$14,8,FALSE),0)+IF(K4="Small",0,VLOOKUP(J4,'Maximum Capital Rates - School'!A$18:G$44,7,FALSE)),(PMT(HLOOKUP(K4,'Maximum Capital Rates - School'!B$2:F$14,13,FALSE),(IF(K4="Small",VLOOKUP(J4,'Maximum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School'!H$18:W$44,14,FALSE))))))),-(M4+R4+IF(P4="YES",IF(IF(K4="Small",VLOOKUP(J4,'Maximum Capital Rates - School'!H$18:W$44,2,FALSE),IF(K4="Medium",VLOOKUP(J4,'Maximum Capital Rates - School'!H$18:W$44,5,FALSE),IF(K4="Large",VLOOKUP(J4,'Maximum Capital Rates - School'!H$18:W$44,8,FALSE),IF(K4="X-Large",VLOOKUP(J4,'Maximum Capital Rates - School'!H$18:W$44,11,FALSE),IF(K4="Artic",VLOOKUP(J4,'Maximum Capital Rates - School'!H$18:W$44,14,FALSE))))))&gt;4,Q4,0),0)+HLOOKUP(K4,'Maximum Capital Rates - School'!B$2:F$14,6,FALSE)),HLOOKUP(K4,'Maximum Capital Rates - School'!B$2:F$14,8,FALSE),0)+IF(K4="Small",0,VLOOKUP(J4,'Maximum Capital Rates - School'!A$18:G$44,7,FALSE))))</f>
        <v>#N/A</v>
      </c>
      <c r="W4" s="1">
        <f>IF(F4="YES",200000,IF(K4="Small",VLOOKUP(J4,'Maximum Capital Rates - School'!A$18:F$44,2,FALSE),IF(K4="Medium",VLOOKUP(J4,'Maximum Capital Rates - School'!A$18:F$44,3,FALSE),IF(K4="Large",VLOOKUP(J4,'Maximum Capital Rates - School'!A$18:F$44,4,FALSE),IF(K4="X-Large",VLOOKUP(J4,'Maximum Capital Rates - School'!A$18:F$44,5,FALSE),IF(K4="Artic",VLOOKUP(J4,'Maximum Capital Rates - School'!A$18:F$44,6,FALSE)))))) +IF(AND(K4="Small",L4="YES"),IF(J4=0,10000,0),0))</f>
        <v>0</v>
      </c>
      <c r="X4" s="111"/>
    </row>
    <row r="5" spans="1:262" x14ac:dyDescent="0.25">
      <c r="A5" s="112"/>
      <c r="B5" s="125" t="s">
        <v>81</v>
      </c>
      <c r="C5" s="138" t="s">
        <v>120</v>
      </c>
      <c r="D5" s="117"/>
      <c r="E5" s="226"/>
      <c r="F5" s="140" t="s">
        <v>120</v>
      </c>
      <c r="G5" s="140" t="s">
        <v>120</v>
      </c>
      <c r="H5" s="141"/>
      <c r="I5" s="140"/>
      <c r="J5" s="190" t="str">
        <f t="shared" ca="1" si="0"/>
        <v/>
      </c>
      <c r="K5" s="140" t="s">
        <v>120</v>
      </c>
      <c r="L5" s="184" t="s">
        <v>5</v>
      </c>
      <c r="M5" s="142"/>
      <c r="N5" s="217" t="str">
        <f>IF(M5="","",IF(OR(K5="Small",F5="YES"),M5,IF(M5+R5+HLOOKUP(K5,'Maximum Capital Rates - School'!$A$2:$F$14,6,FALSE)&gt;W5,W5,M5+R5+HLOOKUP(K5,'Maximum Capital Rates - School'!$A$2:$F$14,6,FALSE))))</f>
        <v/>
      </c>
      <c r="O5" s="184" t="s">
        <v>5</v>
      </c>
      <c r="P5" s="142" t="s">
        <v>5</v>
      </c>
      <c r="Q5" s="142"/>
      <c r="R5" s="142"/>
      <c r="S5" s="150">
        <f>IF($C$3="Novation",U5,IFERROR((IF(OR(E5="",M5=""),0,IF(F5="YES",IF(H5&gt;5, IF(AND(C$2="Special Needs Bus Service",J5&gt;10,J5&lt;16),9560.23,IF(AND(K5="Small",J5&gt;10),0,IF(J5&lt;26,H5,0))),IF(AND(K5="Small",G5="Urban/Town",J5&lt;16),H5*7360,IF(AND(K5="Small",J5&lt;11),H5*7360,IF(AND(K5="Medium",K5="Large",K5="X-Large",G5="Urban/Town",J5&lt;28),H5*10304,IF(AND(K5="Medium",J5&lt;21),H5*10304,IF(AND(K5="Medium",J5=21),'Maximum Capital Rates - School'!N$50,IF(AND(K5="Medium",J5=22),'Maximum Capital Rates - School'!N$51,IF(AND(K5="Large",J5&lt;21),H5*14720,IF(AND(K5="Large",J5=21),'Maximum Capital Rates - School'!Q$50,IF(AND(K5="Large",J5=22),'Maximum Capital Rates - School'!Q$51,IF(AND(K5="X-Large",J5&lt;21),H5*17664,IF(AND(K5="X-Large",J5=21),'Maximum Capital Rates - School'!T$50,IF(AND(K5="X-Large",J5=22),'Maximum Capital Rates - School'!T$51,IF(AND(K5="Artic",J5&lt;31),H5*20608,IF("FALSE",0,))))))))))))))),IF(AND(K5="Artic",J5&gt;25),0,IF(J5&gt;20,0,IF(PMT(HLOOKUP(K5,'Maximum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School'!H$18:W$44,14,FALSE))))))),-(M5+R5+IF(P5="YES",IF(IF(K5="Small",VLOOKUP(J5,'Maximum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School'!B$2:F$14,6,FALSE)),HLOOKUP(K5,'Maximum Capital Rates - School'!B$2:F$14,8,FALSE),0)+IF(K5="Small",0,VLOOKUP(J5,'Maximum Capital Rates - School'!A$18:G$44,7,FALSE))&gt;PMT(HLOOKUP(K5,'Maximum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School'!H$18:W$44,14,FALSE))))))),-(HLOOKUP(K5,'Maximum Capital Rates - School'!A$18:F$44,J5+2,FALSE)+IF(AND(K5="Small",L5="YES"),IF(J5=0,10000,0),0)+R5+IF(P5="YES",IF(IF(K5="Small",VLOOKUP(J5,'Maximum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School'!B$2:F$14,8,FALSE),0)+IF(K5="Small",0,VLOOKUP(J5,'Maximum Capital Rates - School'!A$18:G$44,7,FALSE)),PMT(HLOOKUP(K5,'Maximum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School'!H$18:W$44,14,FALSE))))))),-(HLOOKUP(K5,'Maximum Capital Rates - School'!A$18:F$44,J5+2,FALSE)+IF(AND(K5="Small",L5="YES"),IF(J5=0,10000,0),0)+R5+IF(P5="YES",IF(IF(K5="Small",VLOOKUP(J5,'Maximum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School'!B$2:F$14,8,FALSE),0)+IF(K5="Small",0,VLOOKUP(J5,'Maximum Capital Rates - School'!A$18:G$44,7,FALSE)),(PMT(HLOOKUP(K5,'Maximum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School'!H$18:W$44,14,FALSE))))))),-(M5+R5+IF(P5="YES",IF(IF(K5="Small",VLOOKUP(J5,'Maximum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School'!B$2:F$14,6,FALSE)),HLOOKUP(K5,'Maximum Capital Rates - School'!B$2:F$14,8,FALSE),0)+IF(K5="Small",0,VLOOKUP(J5,'Maximum Capital Rates - School'!A$18:G$44,7,FALSE))))))))),0))</f>
        <v>0</v>
      </c>
      <c r="T5" s="225">
        <f>IF(N5="",0,IF(K5="Small",Sheet1!E$3,Sheet1!D$3)+Sheet1!D$4+IF(C$7="Yes",500,0)+IF(O5="Yes",Sheet1!D$9,0)+IF(N5*Sheet1!C$5&lt;1046,1046*(1+Sheet1!C$66),IF(AND(F5="YES",N5&gt;Sheet1!E$5),(Sheet1!E$5*Sheet1!C$5)*(1+Sheet1!C$66),(N5*Sheet1!C$5)*(1+Sheet1!C$66)))+IF(J5&gt;Sheet1!C$6,2,1)*(Sheet1!D$6))</f>
        <v>0</v>
      </c>
      <c r="U5" s="111" t="e">
        <f ca="1">IF(H5&gt;IF(PMT(HLOOKUP(K5,'Maximum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School'!H$18:W$44,14,FALSE))))))),-(M5+R5+IF(P5="YES",IF(IF(K5="Small",VLOOKUP(J5,'Maximum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School'!B$2:F$14,6,FALSE)),HLOOKUP(K5,'Maximum Capital Rates - School'!B$2:F$14,8,FALSE),0)+IF(K5="Small",0,VLOOKUP(J5,'Maximum Capital Rates - School'!A$18:G$44,7,FALSE))&gt;PMT(HLOOKUP(K5,'Maximum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School'!H$18:W$44,14,FALSE))))))),-(HLOOKUP(K5,'Maximum Capital Rates - School'!A$18:F$44,J5+2,FALSE)+IF(AND(K5="Small",L5="YES"),IF(J5=0,10000,0),0)+R5+IF(P5="YES",IF(IF(K5="Small",VLOOKUP(J5,'Maximum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School'!B$2:F$14,8,FALSE),0)+IF(K5="Small",0,VLOOKUP(J5,'Maximum Capital Rates - School'!A$18:G$44,7,FALSE)),PMT(HLOOKUP(K5,'Maximum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School'!H$18:W$44,14,FALSE))))))),-(HLOOKUP(K5,'Maximum Capital Rates - School'!A$18:F$44,J5+2,FALSE)+IF(AND(K5="Small",L5="YES"),IF(J5=0,10000,0),0)+R5+IF(P5="YES",IF(IF(K5="Small",VLOOKUP(J5,'Maximum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School'!B$2:F$14,8,FALSE),0)+IF(K5="Small",0,VLOOKUP(J5,'Maximum Capital Rates - School'!A$18:G$44,7,FALSE)),(PMT(HLOOKUP(K5,'Maximum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School'!H$18:W$44,14,FALSE))))))),-(M5+R5+IF(P5="YES",IF(IF(K5="Small",VLOOKUP(J5,'Maximum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School'!B$2:F$14,6,FALSE)),HLOOKUP(K5,'Maximum Capital Rates - School'!B$2:F$14,8,FALSE),0)+IF(K5="Small",0,VLOOKUP(J5,'Maximum Capital Rates - School'!A$18:G$44,7,FALSE)))),V5,H5)</f>
        <v>#N/A</v>
      </c>
      <c r="V5" s="130" t="e">
        <f ca="1">IF(PMT(HLOOKUP(K5,'Maximum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School'!H$18:W$44,14,FALSE))))))),-(M5+R5+IF(P5="YES",IF(IF(K5="Small",VLOOKUP(J5,'Maximum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School'!B$2:F$14,6,FALSE)),HLOOKUP(K5,'Maximum Capital Rates - School'!B$2:F$14,8,FALSE),0)+IF(K5="Small",0,VLOOKUP(J5,'Maximum Capital Rates - School'!A$18:G$44,7,FALSE))&gt;PMT(HLOOKUP(K5,'Maximum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School'!H$18:W$44,14,FALSE))))))),-(HLOOKUP(K5,'Maximum Capital Rates - School'!A$18:F$44,J5+2,FALSE)+IF(AND(K5="Small",L5="YES"),IF(J5=0,10000,0),0)+R5+IF(P5="YES",IF(IF(K5="Small",VLOOKUP(J5,'Maximum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School'!B$2:F$14,8,FALSE),0)+IF(K5="Small",0,VLOOKUP(J5,'Maximum Capital Rates - School'!A$18:G$44,7,FALSE)),PMT(HLOOKUP(K5,'Maximum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School'!H$18:W$44,14,FALSE))))))),-(HLOOKUP(K5,'Maximum Capital Rates - School'!A$18:F$44,J5+2,FALSE)+IF(AND(K5="Small",L5="YES"),IF(J5=0,10000,0),0)+R5+IF(P5="YES",IF(IF(K5="Small",VLOOKUP(J5,'Maximum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School'!B$2:F$14,8,FALSE),0)+IF(K5="Small",0,VLOOKUP(J5,'Maximum Capital Rates - School'!A$18:G$44,7,FALSE)),(PMT(HLOOKUP(K5,'Maximum Capital Rates - School'!B$2:F$14,13,FALSE),(IF(K5="Small",VLOOKUP(J5,'Maximum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School'!H$18:W$44,14,FALSE))))))),-(M5+R5+IF(P5="YES",IF(IF(K5="Small",VLOOKUP(J5,'Maximum Capital Rates - School'!H$18:W$44,2,FALSE),IF(K5="Medium",VLOOKUP(J5,'Maximum Capital Rates - School'!H$18:W$44,5,FALSE),IF(K5="Large",VLOOKUP(J5,'Maximum Capital Rates - School'!H$18:W$44,8,FALSE),IF(K5="X-Large",VLOOKUP(J5,'Maximum Capital Rates - School'!H$18:W$44,11,FALSE),IF(K5="Artic",VLOOKUP(J5,'Maximum Capital Rates - School'!H$18:W$44,14,FALSE))))))&gt;4,Q5,0),0)+HLOOKUP(K5,'Maximum Capital Rates - School'!B$2:F$14,6,FALSE)),HLOOKUP(K5,'Maximum Capital Rates - School'!B$2:F$14,8,FALSE),0)+IF(K5="Small",0,VLOOKUP(J5,'Maximum Capital Rates - School'!A$18:G$44,7,FALSE))))</f>
        <v>#N/A</v>
      </c>
      <c r="W5" s="1">
        <f>IF(F5="YES",200000,IF(K5="Small",VLOOKUP(J5,'Maximum Capital Rates - School'!A$18:F$44,2,FALSE),IF(K5="Medium",VLOOKUP(J5,'Maximum Capital Rates - School'!A$18:F$44,3,FALSE),IF(K5="Large",VLOOKUP(J5,'Maximum Capital Rates - School'!A$18:F$44,4,FALSE),IF(K5="X-Large",VLOOKUP(J5,'Maximum Capital Rates - School'!A$18:F$44,5,FALSE),IF(K5="Artic",VLOOKUP(J5,'Maximum Capital Rates - School'!A$18:F$44,6,FALSE)))))) +IF(AND(K5="Small",L5="YES"),IF(J5=0,10000,0),0))</f>
        <v>0</v>
      </c>
      <c r="X5" s="111"/>
      <c r="JB5"/>
    </row>
    <row r="6" spans="1:262" x14ac:dyDescent="0.25">
      <c r="A6" s="112"/>
      <c r="B6" s="132" t="s">
        <v>121</v>
      </c>
      <c r="C6" s="138" t="s">
        <v>120</v>
      </c>
      <c r="D6" s="117"/>
      <c r="E6" s="226"/>
      <c r="F6" s="140" t="s">
        <v>120</v>
      </c>
      <c r="G6" s="140" t="s">
        <v>120</v>
      </c>
      <c r="H6" s="141"/>
      <c r="I6" s="140"/>
      <c r="J6" s="190" t="str">
        <f t="shared" ca="1" si="0"/>
        <v/>
      </c>
      <c r="K6" s="140" t="s">
        <v>120</v>
      </c>
      <c r="L6" s="184" t="s">
        <v>5</v>
      </c>
      <c r="M6" s="142"/>
      <c r="N6" s="217" t="str">
        <f>IF(M6="","",IF(OR(K6="Small",F6="YES"),M6,IF(M6+R6+HLOOKUP(K6,'Maximum Capital Rates - School'!$A$2:$F$14,6,FALSE)&gt;W6,W6,M6+R6+HLOOKUP(K6,'Maximum Capital Rates - School'!$A$2:$F$14,6,FALSE))))</f>
        <v/>
      </c>
      <c r="O6" s="184" t="s">
        <v>5</v>
      </c>
      <c r="P6" s="142" t="s">
        <v>5</v>
      </c>
      <c r="Q6" s="142"/>
      <c r="R6" s="142"/>
      <c r="S6" s="150">
        <f>IF($C$3="Novation",U6,IFERROR((IF(OR(E6="",M6=""),0,IF(F6="YES",IF(H6&gt;5, IF(AND(C$2="Special Needs Bus Service",J6&gt;10,J6&lt;16),9560.23,IF(AND(K6="Small",J6&gt;10),0,IF(J6&lt;26,H6,0))),IF(AND(K6="Small",G6="Urban/Town",J6&lt;16),H6*7360,IF(AND(K6="Small",J6&lt;11),H6*7360,IF(AND(K6="Medium",K6="Large",K6="X-Large",G6="Urban/Town",J6&lt;28),H6*10304,IF(AND(K6="Medium",J6&lt;21),H6*10304,IF(AND(K6="Medium",J6=21),'Maximum Capital Rates - School'!N$50,IF(AND(K6="Medium",J6=22),'Maximum Capital Rates - School'!N$51,IF(AND(K6="Large",J6&lt;21),H6*14720,IF(AND(K6="Large",J6=21),'Maximum Capital Rates - School'!Q$50,IF(AND(K6="Large",J6=22),'Maximum Capital Rates - School'!Q$51,IF(AND(K6="X-Large",J6&lt;21),H6*17664,IF(AND(K6="X-Large",J6=21),'Maximum Capital Rates - School'!T$50,IF(AND(K6="X-Large",J6=22),'Maximum Capital Rates - School'!T$51,IF(AND(K6="Artic",J6&lt;31),H6*20608,IF("FALSE",0,))))))))))))))),IF(AND(K6="Artic",J6&gt;25),0,IF(J6&gt;20,0,IF(PMT(HLOOKUP(K6,'Maximum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School'!H$18:W$44,14,FALSE))))))),-(M6+R6+IF(P6="YES",IF(IF(K6="Small",VLOOKUP(J6,'Maximum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School'!B$2:F$14,6,FALSE)),HLOOKUP(K6,'Maximum Capital Rates - School'!B$2:F$14,8,FALSE),0)+IF(K6="Small",0,VLOOKUP(J6,'Maximum Capital Rates - School'!A$18:G$44,7,FALSE))&gt;PMT(HLOOKUP(K6,'Maximum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School'!H$18:W$44,14,FALSE))))))),-(HLOOKUP(K6,'Maximum Capital Rates - School'!A$18:F$44,J6+2,FALSE)+IF(AND(K6="Small",L6="YES"),IF(J6=0,10000,0),0)+R6+IF(P6="YES",IF(IF(K6="Small",VLOOKUP(J6,'Maximum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School'!B$2:F$14,8,FALSE),0)+IF(K6="Small",0,VLOOKUP(J6,'Maximum Capital Rates - School'!A$18:G$44,7,FALSE)),PMT(HLOOKUP(K6,'Maximum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School'!H$18:W$44,14,FALSE))))))),-(HLOOKUP(K6,'Maximum Capital Rates - School'!A$18:F$44,J6+2,FALSE)+IF(AND(K6="Small",L6="YES"),IF(J6=0,10000,0),0)+R6+IF(P6="YES",IF(IF(K6="Small",VLOOKUP(J6,'Maximum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School'!B$2:F$14,8,FALSE),0)+IF(K6="Small",0,VLOOKUP(J6,'Maximum Capital Rates - School'!A$18:G$44,7,FALSE)),(PMT(HLOOKUP(K6,'Maximum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School'!H$18:W$44,14,FALSE))))))),-(M6+R6+IF(P6="YES",IF(IF(K6="Small",VLOOKUP(J6,'Maximum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School'!B$2:F$14,6,FALSE)),HLOOKUP(K6,'Maximum Capital Rates - School'!B$2:F$14,8,FALSE),0)+IF(K6="Small",0,VLOOKUP(J6,'Maximum Capital Rates - School'!A$18:G$44,7,FALSE))))))))),0))</f>
        <v>0</v>
      </c>
      <c r="T6" s="225">
        <f>IF(N6="",0,IF(K6="Small",Sheet1!E$3,Sheet1!D$3)+Sheet1!D$4+IF(C$7="Yes",500,0)+IF(O6="Yes",Sheet1!D$9,0)+IF(N6*Sheet1!C$5&lt;1046,1046*(1+Sheet1!C$66),IF(AND(F6="YES",N6&gt;Sheet1!E$5),(Sheet1!E$5*Sheet1!C$5)*(1+Sheet1!C$66),(N6*Sheet1!C$5)*(1+Sheet1!C$66)))+IF(J6&gt;Sheet1!C$6,2,1)*(Sheet1!D$6))</f>
        <v>0</v>
      </c>
      <c r="U6" s="111" t="e">
        <f ca="1">IF(H6&gt;IF(PMT(HLOOKUP(K6,'Maximum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School'!H$18:W$44,14,FALSE))))))),-(M6+R6+IF(P6="YES",IF(IF(K6="Small",VLOOKUP(J6,'Maximum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School'!B$2:F$14,6,FALSE)),HLOOKUP(K6,'Maximum Capital Rates - School'!B$2:F$14,8,FALSE),0)+IF(K6="Small",0,VLOOKUP(J6,'Maximum Capital Rates - School'!A$18:G$44,7,FALSE))&gt;PMT(HLOOKUP(K6,'Maximum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School'!H$18:W$44,14,FALSE))))))),-(HLOOKUP(K6,'Maximum Capital Rates - School'!A$18:F$44,J6+2,FALSE)+IF(AND(K6="Small",L6="YES"),IF(J6=0,10000,0),0)+R6+IF(P6="YES",IF(IF(K6="Small",VLOOKUP(J6,'Maximum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School'!B$2:F$14,8,FALSE),0)+IF(K6="Small",0,VLOOKUP(J6,'Maximum Capital Rates - School'!A$18:G$44,7,FALSE)),PMT(HLOOKUP(K6,'Maximum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School'!H$18:W$44,14,FALSE))))))),-(HLOOKUP(K6,'Maximum Capital Rates - School'!A$18:F$44,J6+2,FALSE)+IF(AND(K6="Small",L6="YES"),IF(J6=0,10000,0),0)+R6+IF(P6="YES",IF(IF(K6="Small",VLOOKUP(J6,'Maximum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School'!B$2:F$14,8,FALSE),0)+IF(K6="Small",0,VLOOKUP(J6,'Maximum Capital Rates - School'!A$18:G$44,7,FALSE)),(PMT(HLOOKUP(K6,'Maximum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School'!H$18:W$44,14,FALSE))))))),-(M6+R6+IF(P6="YES",IF(IF(K6="Small",VLOOKUP(J6,'Maximum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School'!B$2:F$14,6,FALSE)),HLOOKUP(K6,'Maximum Capital Rates - School'!B$2:F$14,8,FALSE),0)+IF(K6="Small",0,VLOOKUP(J6,'Maximum Capital Rates - School'!A$18:G$44,7,FALSE)))),V6,H6)</f>
        <v>#N/A</v>
      </c>
      <c r="V6" s="130" t="e">
        <f ca="1">IF(PMT(HLOOKUP(K6,'Maximum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School'!H$18:W$44,14,FALSE))))))),-(M6+R6+IF(P6="YES",IF(IF(K6="Small",VLOOKUP(J6,'Maximum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School'!B$2:F$14,6,FALSE)),HLOOKUP(K6,'Maximum Capital Rates - School'!B$2:F$14,8,FALSE),0)+IF(K6="Small",0,VLOOKUP(J6,'Maximum Capital Rates - School'!A$18:G$44,7,FALSE))&gt;PMT(HLOOKUP(K6,'Maximum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School'!H$18:W$44,14,FALSE))))))),-(HLOOKUP(K6,'Maximum Capital Rates - School'!A$18:F$44,J6+2,FALSE)+IF(AND(K6="Small",L6="YES"),IF(J6=0,10000,0),0)+R6+IF(P6="YES",IF(IF(K6="Small",VLOOKUP(J6,'Maximum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School'!B$2:F$14,8,FALSE),0)+IF(K6="Small",0,VLOOKUP(J6,'Maximum Capital Rates - School'!A$18:G$44,7,FALSE)),PMT(HLOOKUP(K6,'Maximum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School'!H$18:W$44,14,FALSE))))))),-(HLOOKUP(K6,'Maximum Capital Rates - School'!A$18:F$44,J6+2,FALSE)+IF(AND(K6="Small",L6="YES"),IF(J6=0,10000,0),0)+R6+IF(P6="YES",IF(IF(K6="Small",VLOOKUP(J6,'Maximum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School'!B$2:F$14,8,FALSE),0)+IF(K6="Small",0,VLOOKUP(J6,'Maximum Capital Rates - School'!A$18:G$44,7,FALSE)),(PMT(HLOOKUP(K6,'Maximum Capital Rates - School'!B$2:F$14,13,FALSE),(IF(K6="Small",VLOOKUP(J6,'Maximum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School'!H$18:W$44,14,FALSE))))))),-(M6+R6+IF(P6="YES",IF(IF(K6="Small",VLOOKUP(J6,'Maximum Capital Rates - School'!H$18:W$44,2,FALSE),IF(K6="Medium",VLOOKUP(J6,'Maximum Capital Rates - School'!H$18:W$44,5,FALSE),IF(K6="Large",VLOOKUP(J6,'Maximum Capital Rates - School'!H$18:W$44,8,FALSE),IF(K6="X-Large",VLOOKUP(J6,'Maximum Capital Rates - School'!H$18:W$44,11,FALSE),IF(K6="Artic",VLOOKUP(J6,'Maximum Capital Rates - School'!H$18:W$44,14,FALSE))))))&gt;4,Q6,0),0)+HLOOKUP(K6,'Maximum Capital Rates - School'!B$2:F$14,6,FALSE)),HLOOKUP(K6,'Maximum Capital Rates - School'!B$2:F$14,8,FALSE),0)+IF(K6="Small",0,VLOOKUP(J6,'Maximum Capital Rates - School'!A$18:G$44,7,FALSE))))</f>
        <v>#N/A</v>
      </c>
      <c r="W6" s="1">
        <f>IF(F6="YES",200000,IF(K6="Small",VLOOKUP(J6,'Maximum Capital Rates - School'!A$18:F$44,2,FALSE),IF(K6="Medium",VLOOKUP(J6,'Maximum Capital Rates - School'!A$18:F$44,3,FALSE),IF(K6="Large",VLOOKUP(J6,'Maximum Capital Rates - School'!A$18:F$44,4,FALSE),IF(K6="X-Large",VLOOKUP(J6,'Maximum Capital Rates - School'!A$18:F$44,5,FALSE),IF(K6="Artic",VLOOKUP(J6,'Maximum Capital Rates - School'!A$18:F$44,6,FALSE)))))) +IF(AND(K6="Small",L6="YES"),IF(J6=0,10000,0),0))</f>
        <v>0</v>
      </c>
      <c r="X6" s="111"/>
      <c r="JB6"/>
    </row>
    <row r="7" spans="1:262" x14ac:dyDescent="0.25">
      <c r="A7" s="112"/>
      <c r="B7" s="132" t="s">
        <v>150</v>
      </c>
      <c r="C7" s="138" t="s">
        <v>120</v>
      </c>
      <c r="D7" s="117"/>
      <c r="E7" s="226"/>
      <c r="F7" s="140" t="s">
        <v>120</v>
      </c>
      <c r="G7" s="140" t="s">
        <v>120</v>
      </c>
      <c r="H7" s="141"/>
      <c r="I7" s="140"/>
      <c r="J7" s="190" t="str">
        <f t="shared" ca="1" si="0"/>
        <v/>
      </c>
      <c r="K7" s="140" t="s">
        <v>120</v>
      </c>
      <c r="L7" s="184" t="s">
        <v>5</v>
      </c>
      <c r="M7" s="142"/>
      <c r="N7" s="217" t="str">
        <f>IF(M7="","",IF(OR(K7="Small",F7="YES"),M7,IF(M7+R7+HLOOKUP(K7,'Maximum Capital Rates - School'!$A$2:$F$14,6,FALSE)&gt;W7,W7,M7+R7+HLOOKUP(K7,'Maximum Capital Rates - School'!$A$2:$F$14,6,FALSE))))</f>
        <v/>
      </c>
      <c r="O7" s="184" t="s">
        <v>5</v>
      </c>
      <c r="P7" s="142" t="s">
        <v>5</v>
      </c>
      <c r="Q7" s="142"/>
      <c r="R7" s="142"/>
      <c r="S7" s="150">
        <f>IF($C$3="Novation",U7,IFERROR((IF(OR(E7="",M7=""),0,IF(F7="YES",IF(H7&gt;5, IF(AND(C$2="Special Needs Bus Service",J7&gt;10,J7&lt;16),9560.23,IF(AND(K7="Small",J7&gt;10),0,IF(J7&lt;26,H7,0))),IF(AND(K7="Small",G7="Urban/Town",J7&lt;16),H7*7360,IF(AND(K7="Small",J7&lt;11),H7*7360,IF(AND(K7="Medium",K7="Large",K7="X-Large",G7="Urban/Town",J7&lt;28),H7*10304,IF(AND(K7="Medium",J7&lt;21),H7*10304,IF(AND(K7="Medium",J7=21),'Maximum Capital Rates - School'!N$50,IF(AND(K7="Medium",J7=22),'Maximum Capital Rates - School'!N$51,IF(AND(K7="Large",J7&lt;21),H7*14720,IF(AND(K7="Large",J7=21),'Maximum Capital Rates - School'!Q$50,IF(AND(K7="Large",J7=22),'Maximum Capital Rates - School'!Q$51,IF(AND(K7="X-Large",J7&lt;21),H7*17664,IF(AND(K7="X-Large",J7=21),'Maximum Capital Rates - School'!T$50,IF(AND(K7="X-Large",J7=22),'Maximum Capital Rates - School'!T$51,IF(AND(K7="Artic",J7&lt;31),H7*20608,IF("FALSE",0,))))))))))))))),IF(AND(K7="Artic",J7&gt;25),0,IF(J7&gt;20,0,IF(PMT(HLOOKUP(K7,'Maximum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School'!H$18:W$44,14,FALSE))))))),-(M7+R7+IF(P7="YES",IF(IF(K7="Small",VLOOKUP(J7,'Maximum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School'!B$2:F$14,6,FALSE)),HLOOKUP(K7,'Maximum Capital Rates - School'!B$2:F$14,8,FALSE),0)+IF(K7="Small",0,VLOOKUP(J7,'Maximum Capital Rates - School'!A$18:G$44,7,FALSE))&gt;PMT(HLOOKUP(K7,'Maximum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School'!H$18:W$44,14,FALSE))))))),-(HLOOKUP(K7,'Maximum Capital Rates - School'!A$18:F$44,J7+2,FALSE)+IF(AND(K7="Small",L7="YES"),IF(J7=0,10000,0),0)+R7+IF(P7="YES",IF(IF(K7="Small",VLOOKUP(J7,'Maximum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School'!B$2:F$14,8,FALSE),0)+IF(K7="Small",0,VLOOKUP(J7,'Maximum Capital Rates - School'!A$18:G$44,7,FALSE)),PMT(HLOOKUP(K7,'Maximum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School'!H$18:W$44,14,FALSE))))))),-(HLOOKUP(K7,'Maximum Capital Rates - School'!A$18:F$44,J7+2,FALSE)+IF(AND(K7="Small",L7="YES"),IF(J7=0,10000,0),0)+R7+IF(P7="YES",IF(IF(K7="Small",VLOOKUP(J7,'Maximum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School'!B$2:F$14,8,FALSE),0)+IF(K7="Small",0,VLOOKUP(J7,'Maximum Capital Rates - School'!A$18:G$44,7,FALSE)),(PMT(HLOOKUP(K7,'Maximum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School'!H$18:W$44,14,FALSE))))))),-(M7+R7+IF(P7="YES",IF(IF(K7="Small",VLOOKUP(J7,'Maximum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School'!B$2:F$14,6,FALSE)),HLOOKUP(K7,'Maximum Capital Rates - School'!B$2:F$14,8,FALSE),0)+IF(K7="Small",0,VLOOKUP(J7,'Maximum Capital Rates - School'!A$18:G$44,7,FALSE))))))))),0))</f>
        <v>0</v>
      </c>
      <c r="T7" s="225">
        <f>IF(N7="",0,IF(K7="Small",Sheet1!E$3,Sheet1!D$3)+Sheet1!D$4+IF(C$7="Yes",500,0)+IF(O7="Yes",Sheet1!D$9,0)+IF(N7*Sheet1!C$5&lt;1046,1046*(1+Sheet1!C$66),IF(AND(F7="YES",N7&gt;Sheet1!E$5),(Sheet1!E$5*Sheet1!C$5)*(1+Sheet1!C$66),(N7*Sheet1!C$5)*(1+Sheet1!C$66)))+IF(J7&gt;Sheet1!C$6,2,1)*(Sheet1!D$6))</f>
        <v>0</v>
      </c>
      <c r="U7" s="111" t="e">
        <f ca="1">IF(H7&gt;IF(PMT(HLOOKUP(K7,'Maximum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School'!H$18:W$44,14,FALSE))))))),-(M7+R7+IF(P7="YES",IF(IF(K7="Small",VLOOKUP(J7,'Maximum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School'!B$2:F$14,6,FALSE)),HLOOKUP(K7,'Maximum Capital Rates - School'!B$2:F$14,8,FALSE),0)+IF(K7="Small",0,VLOOKUP(J7,'Maximum Capital Rates - School'!A$18:G$44,7,FALSE))&gt;PMT(HLOOKUP(K7,'Maximum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School'!H$18:W$44,14,FALSE))))))),-(HLOOKUP(K7,'Maximum Capital Rates - School'!A$18:F$44,J7+2,FALSE)+IF(AND(K7="Small",L7="YES"),IF(J7=0,10000,0),0)+R7+IF(P7="YES",IF(IF(K7="Small",VLOOKUP(J7,'Maximum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School'!B$2:F$14,8,FALSE),0)+IF(K7="Small",0,VLOOKUP(J7,'Maximum Capital Rates - School'!A$18:G$44,7,FALSE)),PMT(HLOOKUP(K7,'Maximum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School'!H$18:W$44,14,FALSE))))))),-(HLOOKUP(K7,'Maximum Capital Rates - School'!A$18:F$44,J7+2,FALSE)+IF(AND(K7="Small",L7="YES"),IF(J7=0,10000,0),0)+R7+IF(P7="YES",IF(IF(K7="Small",VLOOKUP(J7,'Maximum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School'!B$2:F$14,8,FALSE),0)+IF(K7="Small",0,VLOOKUP(J7,'Maximum Capital Rates - School'!A$18:G$44,7,FALSE)),(PMT(HLOOKUP(K7,'Maximum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School'!H$18:W$44,14,FALSE))))))),-(M7+R7+IF(P7="YES",IF(IF(K7="Small",VLOOKUP(J7,'Maximum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School'!B$2:F$14,6,FALSE)),HLOOKUP(K7,'Maximum Capital Rates - School'!B$2:F$14,8,FALSE),0)+IF(K7="Small",0,VLOOKUP(J7,'Maximum Capital Rates - School'!A$18:G$44,7,FALSE)))),V7,H7)</f>
        <v>#N/A</v>
      </c>
      <c r="V7" s="130" t="e">
        <f ca="1">IF(PMT(HLOOKUP(K7,'Maximum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School'!H$18:W$44,14,FALSE))))))),-(M7+R7+IF(P7="YES",IF(IF(K7="Small",VLOOKUP(J7,'Maximum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School'!B$2:F$14,6,FALSE)),HLOOKUP(K7,'Maximum Capital Rates - School'!B$2:F$14,8,FALSE),0)+IF(K7="Small",0,VLOOKUP(J7,'Maximum Capital Rates - School'!A$18:G$44,7,FALSE))&gt;PMT(HLOOKUP(K7,'Maximum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School'!H$18:W$44,14,FALSE))))))),-(HLOOKUP(K7,'Maximum Capital Rates - School'!A$18:F$44,J7+2,FALSE)+IF(AND(K7="Small",L7="YES"),IF(J7=0,10000,0),0)+R7+IF(P7="YES",IF(IF(K7="Small",VLOOKUP(J7,'Maximum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School'!B$2:F$14,8,FALSE),0)+IF(K7="Small",0,VLOOKUP(J7,'Maximum Capital Rates - School'!A$18:G$44,7,FALSE)),PMT(HLOOKUP(K7,'Maximum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School'!H$18:W$44,14,FALSE))))))),-(HLOOKUP(K7,'Maximum Capital Rates - School'!A$18:F$44,J7+2,FALSE)+IF(AND(K7="Small",L7="YES"),IF(J7=0,10000,0),0)+R7+IF(P7="YES",IF(IF(K7="Small",VLOOKUP(J7,'Maximum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School'!B$2:F$14,8,FALSE),0)+IF(K7="Small",0,VLOOKUP(J7,'Maximum Capital Rates - School'!A$18:G$44,7,FALSE)),(PMT(HLOOKUP(K7,'Maximum Capital Rates - School'!B$2:F$14,13,FALSE),(IF(K7="Small",VLOOKUP(J7,'Maximum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School'!H$18:W$44,14,FALSE))))))),-(M7+R7+IF(P7="YES",IF(IF(K7="Small",VLOOKUP(J7,'Maximum Capital Rates - School'!H$18:W$44,2,FALSE),IF(K7="Medium",VLOOKUP(J7,'Maximum Capital Rates - School'!H$18:W$44,5,FALSE),IF(K7="Large",VLOOKUP(J7,'Maximum Capital Rates - School'!H$18:W$44,8,FALSE),IF(K7="X-Large",VLOOKUP(J7,'Maximum Capital Rates - School'!H$18:W$44,11,FALSE),IF(K7="Artic",VLOOKUP(J7,'Maximum Capital Rates - School'!H$18:W$44,14,FALSE))))))&gt;4,Q7,0),0)+HLOOKUP(K7,'Maximum Capital Rates - School'!B$2:F$14,6,FALSE)),HLOOKUP(K7,'Maximum Capital Rates - School'!B$2:F$14,8,FALSE),0)+IF(K7="Small",0,VLOOKUP(J7,'Maximum Capital Rates - School'!A$18:G$44,7,FALSE))))</f>
        <v>#N/A</v>
      </c>
      <c r="W7" s="1">
        <f>IF(F7="YES",200000,IF(K7="Small",VLOOKUP(J7,'Maximum Capital Rates - School'!A$18:F$44,2,FALSE),IF(K7="Medium",VLOOKUP(J7,'Maximum Capital Rates - School'!A$18:F$44,3,FALSE),IF(K7="Large",VLOOKUP(J7,'Maximum Capital Rates - School'!A$18:F$44,4,FALSE),IF(K7="X-Large",VLOOKUP(J7,'Maximum Capital Rates - School'!A$18:F$44,5,FALSE),IF(K7="Artic",VLOOKUP(J7,'Maximum Capital Rates - School'!A$18:F$44,6,FALSE)))))) +IF(AND(K7="Small",L7="YES"),IF(J7=0,10000,0),0))</f>
        <v>0</v>
      </c>
      <c r="X7" s="111"/>
      <c r="JB7"/>
    </row>
    <row r="8" spans="1:262" ht="15.75" thickBot="1" x14ac:dyDescent="0.3">
      <c r="A8" s="112"/>
      <c r="B8" s="125" t="s">
        <v>80</v>
      </c>
      <c r="C8" s="138" t="s">
        <v>120</v>
      </c>
      <c r="D8" s="117"/>
      <c r="E8" s="227"/>
      <c r="F8" s="228" t="s">
        <v>120</v>
      </c>
      <c r="G8" s="228" t="s">
        <v>120</v>
      </c>
      <c r="H8" s="229"/>
      <c r="I8" s="228"/>
      <c r="J8" s="230" t="str">
        <f t="shared" ca="1" si="0"/>
        <v/>
      </c>
      <c r="K8" s="228" t="s">
        <v>120</v>
      </c>
      <c r="L8" s="231" t="s">
        <v>5</v>
      </c>
      <c r="M8" s="232"/>
      <c r="N8" s="233" t="str">
        <f>IF(M8="","",IF(OR(K8="Small",F8="YES"),M8,IF(M8+R8+HLOOKUP(K8,'Maximum Capital Rates - School'!$A$2:$F$14,6,FALSE)&gt;W8,W8,M8+R8+HLOOKUP(K8,'Maximum Capital Rates - School'!$A$2:$F$14,6,FALSE))))</f>
        <v/>
      </c>
      <c r="O8" s="231" t="s">
        <v>5</v>
      </c>
      <c r="P8" s="232" t="s">
        <v>5</v>
      </c>
      <c r="Q8" s="232"/>
      <c r="R8" s="232"/>
      <c r="S8" s="235">
        <f>IF($C$3="Novation",U8,IFERROR((IF(OR(E8="",M8=""),0,IF(F8="YES",IF(H8&gt;5, IF(AND(C$2="Special Needs Bus Service",J8&gt;10,J8&lt;16),9560.23,IF(AND(K8="Small",J8&gt;10),0,IF(J8&lt;26,H8,0))),IF(AND(K8="Small",G8="Urban/Town",J8&lt;16),H8*7360,IF(AND(K8="Small",J8&lt;11),H8*7360,IF(AND(K8="Medium",K8="Large",K8="X-Large",G8="Urban/Town",J8&lt;28),H8*10304,IF(AND(K8="Medium",J8&lt;21),H8*10304,IF(AND(K8="Medium",J8=21),'Maximum Capital Rates - School'!N$50,IF(AND(K8="Medium",J8=22),'Maximum Capital Rates - School'!N$51,IF(AND(K8="Large",J8&lt;21),H8*14720,IF(AND(K8="Large",J8=21),'Maximum Capital Rates - School'!Q$50,IF(AND(K8="Large",J8=22),'Maximum Capital Rates - School'!Q$51,IF(AND(K8="X-Large",J8&lt;21),H8*17664,IF(AND(K8="X-Large",J8=21),'Maximum Capital Rates - School'!T$50,IF(AND(K8="X-Large",J8=22),'Maximum Capital Rates - School'!T$51,IF(AND(K8="Artic",J8&lt;31),H8*20608,IF("FALSE",0,))))))))))))))),IF(AND(K8="Artic",J8&gt;25),0,IF(J8&gt;20,0,IF(PMT(HLOOKUP(K8,'Maximum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School'!H$18:W$44,14,FALSE))))))),-(M8+R8+IF(P8="YES",IF(IF(K8="Small",VLOOKUP(J8,'Maximum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School'!B$2:F$14,6,FALSE)),HLOOKUP(K8,'Maximum Capital Rates - School'!B$2:F$14,8,FALSE),0)+IF(K8="Small",0,VLOOKUP(J8,'Maximum Capital Rates - School'!A$18:G$44,7,FALSE))&gt;PMT(HLOOKUP(K8,'Maximum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School'!H$18:W$44,14,FALSE))))))),-(HLOOKUP(K8,'Maximum Capital Rates - School'!A$18:F$44,J8+2,FALSE)+IF(AND(K8="Small",L8="YES"),IF(J8=0,10000,0),0)+R8+IF(P8="YES",IF(IF(K8="Small",VLOOKUP(J8,'Maximum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School'!B$2:F$14,8,FALSE),0)+IF(K8="Small",0,VLOOKUP(J8,'Maximum Capital Rates - School'!A$18:G$44,7,FALSE)),PMT(HLOOKUP(K8,'Maximum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School'!H$18:W$44,14,FALSE))))))),-(HLOOKUP(K8,'Maximum Capital Rates - School'!A$18:F$44,J8+2,FALSE)+IF(AND(K8="Small",L8="YES"),IF(J8=0,10000,0),0)+R8+IF(P8="YES",IF(IF(K8="Small",VLOOKUP(J8,'Maximum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School'!B$2:F$14,8,FALSE),0)+IF(K8="Small",0,VLOOKUP(J8,'Maximum Capital Rates - School'!A$18:G$44,7,FALSE)),(PMT(HLOOKUP(K8,'Maximum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School'!H$18:W$44,14,FALSE))))))),-(M8+R8+IF(P8="YES",IF(IF(K8="Small",VLOOKUP(J8,'Maximum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School'!B$2:F$14,6,FALSE)),HLOOKUP(K8,'Maximum Capital Rates - School'!B$2:F$14,8,FALSE),0)+IF(K8="Small",0,VLOOKUP(J8,'Maximum Capital Rates - School'!A$18:G$44,7,FALSE))))))))),0))</f>
        <v>0</v>
      </c>
      <c r="T8" s="234">
        <f>IF(N8="",0,IF(K8="Small",Sheet1!E$3,Sheet1!D$3)+Sheet1!D$4+IF(C$7="Yes",500,0)+IF(O8="Yes",Sheet1!D$9,0)+IF(N8*Sheet1!C$5&lt;1046,1046*(1+Sheet1!C$66),IF(AND(F8="YES",N8&gt;Sheet1!E$5),(Sheet1!E$5*Sheet1!C$5)*(1+Sheet1!C$66),(N8*Sheet1!C$5)*(1+Sheet1!C$66)))+IF(J8&gt;Sheet1!C$6,2,1)*(Sheet1!D$6))</f>
        <v>0</v>
      </c>
      <c r="U8" s="111" t="e">
        <f ca="1">IF(H8&gt;IF(PMT(HLOOKUP(K8,'Maximum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School'!H$18:W$44,14,FALSE))))))),-(M8+R8+IF(P8="YES",IF(IF(K8="Small",VLOOKUP(J8,'Maximum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School'!B$2:F$14,6,FALSE)),HLOOKUP(K8,'Maximum Capital Rates - School'!B$2:F$14,8,FALSE),0)+IF(K8="Small",0,VLOOKUP(J8,'Maximum Capital Rates - School'!A$18:G$44,7,FALSE))&gt;PMT(HLOOKUP(K8,'Maximum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School'!H$18:W$44,14,FALSE))))))),-(HLOOKUP(K8,'Maximum Capital Rates - School'!A$18:F$44,J8+2,FALSE)+IF(AND(K8="Small",L8="YES"),IF(J8=0,10000,0),0)+R8+IF(P8="YES",IF(IF(K8="Small",VLOOKUP(J8,'Maximum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School'!B$2:F$14,8,FALSE),0)+IF(K8="Small",0,VLOOKUP(J8,'Maximum Capital Rates - School'!A$18:G$44,7,FALSE)),PMT(HLOOKUP(K8,'Maximum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School'!H$18:W$44,14,FALSE))))))),-(HLOOKUP(K8,'Maximum Capital Rates - School'!A$18:F$44,J8+2,FALSE)+IF(AND(K8="Small",L8="YES"),IF(J8=0,10000,0),0)+R8+IF(P8="YES",IF(IF(K8="Small",VLOOKUP(J8,'Maximum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School'!B$2:F$14,8,FALSE),0)+IF(K8="Small",0,VLOOKUP(J8,'Maximum Capital Rates - School'!A$18:G$44,7,FALSE)),(PMT(HLOOKUP(K8,'Maximum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School'!H$18:W$44,14,FALSE))))))),-(M8+R8+IF(P8="YES",IF(IF(K8="Small",VLOOKUP(J8,'Maximum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School'!B$2:F$14,6,FALSE)),HLOOKUP(K8,'Maximum Capital Rates - School'!B$2:F$14,8,FALSE),0)+IF(K8="Small",0,VLOOKUP(J8,'Maximum Capital Rates - School'!A$18:G$44,7,FALSE)))),V8,H8)</f>
        <v>#N/A</v>
      </c>
      <c r="V8" s="130" t="e">
        <f ca="1">IF(PMT(HLOOKUP(K8,'Maximum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School'!H$18:W$44,14,FALSE))))))),-(M8+R8+IF(P8="YES",IF(IF(K8="Small",VLOOKUP(J8,'Maximum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School'!B$2:F$14,6,FALSE)),HLOOKUP(K8,'Maximum Capital Rates - School'!B$2:F$14,8,FALSE),0)+IF(K8="Small",0,VLOOKUP(J8,'Maximum Capital Rates - School'!A$18:G$44,7,FALSE))&gt;PMT(HLOOKUP(K8,'Maximum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School'!H$18:W$44,14,FALSE))))))),-(HLOOKUP(K8,'Maximum Capital Rates - School'!A$18:F$44,J8+2,FALSE)+IF(AND(K8="Small",L8="YES"),IF(J8=0,10000,0),0)+R8+IF(P8="YES",IF(IF(K8="Small",VLOOKUP(J8,'Maximum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School'!B$2:F$14,8,FALSE),0)+IF(K8="Small",0,VLOOKUP(J8,'Maximum Capital Rates - School'!A$18:G$44,7,FALSE)),PMT(HLOOKUP(K8,'Maximum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School'!H$18:W$44,14,FALSE))))))),-(HLOOKUP(K8,'Maximum Capital Rates - School'!A$18:F$44,J8+2,FALSE)+IF(AND(K8="Small",L8="YES"),IF(J8=0,10000,0),0)+R8+IF(P8="YES",IF(IF(K8="Small",VLOOKUP(J8,'Maximum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School'!B$2:F$14,8,FALSE),0)+IF(K8="Small",0,VLOOKUP(J8,'Maximum Capital Rates - School'!A$18:G$44,7,FALSE)),(PMT(HLOOKUP(K8,'Maximum Capital Rates - School'!B$2:F$14,13,FALSE),(IF(K8="Small",VLOOKUP(J8,'Maximum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School'!H$18:W$44,14,FALSE))))))),-(M8+R8+IF(P8="YES",IF(IF(K8="Small",VLOOKUP(J8,'Maximum Capital Rates - School'!H$18:W$44,2,FALSE),IF(K8="Medium",VLOOKUP(J8,'Maximum Capital Rates - School'!H$18:W$44,5,FALSE),IF(K8="Large",VLOOKUP(J8,'Maximum Capital Rates - School'!H$18:W$44,8,FALSE),IF(K8="X-Large",VLOOKUP(J8,'Maximum Capital Rates - School'!H$18:W$44,11,FALSE),IF(K8="Artic",VLOOKUP(J8,'Maximum Capital Rates - School'!H$18:W$44,14,FALSE))))))&gt;4,Q8,0),0)+HLOOKUP(K8,'Maximum Capital Rates - School'!B$2:F$14,6,FALSE)),HLOOKUP(K8,'Maximum Capital Rates - School'!B$2:F$14,8,FALSE),0)+IF(K8="Small",0,VLOOKUP(J8,'Maximum Capital Rates - School'!A$18:G$44,7,FALSE))))</f>
        <v>#N/A</v>
      </c>
      <c r="W8" s="1">
        <f>IF(F8="YES",200000,IF(K8="Small",VLOOKUP(J8,'Maximum Capital Rates - School'!A$18:F$44,2,FALSE),IF(K8="Medium",VLOOKUP(J8,'Maximum Capital Rates - School'!A$18:F$44,3,FALSE),IF(K8="Large",VLOOKUP(J8,'Maximum Capital Rates - School'!A$18:F$44,4,FALSE),IF(K8="X-Large",VLOOKUP(J8,'Maximum Capital Rates - School'!A$18:F$44,5,FALSE),IF(K8="Artic",VLOOKUP(J8,'Maximum Capital Rates - School'!A$18:F$44,6,FALSE)))))) +IF(AND(K8="Small",L8="YES"),IF(J8=0,10000,0),0))</f>
        <v>0</v>
      </c>
      <c r="X8" s="111"/>
      <c r="JB8"/>
    </row>
    <row r="9" spans="1:262" x14ac:dyDescent="0.25">
      <c r="A9" s="112"/>
      <c r="B9" s="126" t="s">
        <v>129</v>
      </c>
      <c r="C9" s="138" t="s">
        <v>5</v>
      </c>
      <c r="D9" s="117"/>
      <c r="E9" s="145"/>
      <c r="F9" s="145"/>
      <c r="G9" s="145"/>
      <c r="H9" s="145"/>
      <c r="I9" s="145"/>
      <c r="J9" s="116"/>
      <c r="K9" s="116"/>
      <c r="L9" s="116"/>
      <c r="M9" s="116"/>
      <c r="N9" s="116"/>
      <c r="O9" s="116"/>
      <c r="P9" s="116"/>
      <c r="Q9" s="116"/>
      <c r="R9" s="116"/>
      <c r="S9" s="116"/>
      <c r="T9" s="111"/>
      <c r="U9" s="111"/>
      <c r="V9" s="111"/>
      <c r="W9" s="111"/>
      <c r="X9" s="111"/>
      <c r="JB9"/>
    </row>
    <row r="10" spans="1:262" ht="15.75" thickBot="1" x14ac:dyDescent="0.3">
      <c r="A10" s="112"/>
      <c r="B10" s="125" t="s">
        <v>88</v>
      </c>
      <c r="C10" s="138"/>
      <c r="D10" s="117"/>
      <c r="E10" s="145"/>
      <c r="F10" s="145"/>
      <c r="G10" s="145"/>
      <c r="H10" s="145"/>
      <c r="I10" s="145"/>
      <c r="J10" s="116"/>
      <c r="K10" s="116"/>
      <c r="L10" s="116"/>
      <c r="M10" s="116"/>
      <c r="N10" s="116"/>
      <c r="O10" s="116"/>
      <c r="P10" s="116"/>
      <c r="Q10" s="116"/>
      <c r="R10" s="116"/>
      <c r="S10" s="116"/>
      <c r="T10" s="111"/>
      <c r="U10" s="111"/>
      <c r="V10" s="111"/>
      <c r="W10" s="111"/>
      <c r="X10" s="111"/>
      <c r="JB10"/>
    </row>
    <row r="11" spans="1:262" ht="15" customHeight="1" thickBot="1" x14ac:dyDescent="0.3">
      <c r="A11" s="112"/>
      <c r="B11" s="126" t="s">
        <v>86</v>
      </c>
      <c r="C11" s="138"/>
      <c r="D11" s="117"/>
      <c r="E11" s="245" t="s">
        <v>100</v>
      </c>
      <c r="F11" s="247"/>
      <c r="G11" s="247"/>
      <c r="H11" s="247"/>
      <c r="I11" s="246"/>
      <c r="J11" s="213"/>
      <c r="K11" s="214"/>
      <c r="L11" s="215"/>
      <c r="M11" s="215"/>
      <c r="N11" s="215"/>
      <c r="O11" s="215"/>
      <c r="P11" s="215"/>
      <c r="Q11" s="215"/>
      <c r="R11" s="215"/>
      <c r="S11" s="215"/>
      <c r="T11" s="111"/>
      <c r="U11" s="111"/>
      <c r="V11" s="111"/>
      <c r="W11" s="111"/>
      <c r="X11" s="111"/>
      <c r="JB11"/>
    </row>
    <row r="12" spans="1:262" ht="13.5" customHeight="1" x14ac:dyDescent="0.25">
      <c r="A12" s="112"/>
      <c r="B12" s="125" t="s">
        <v>87</v>
      </c>
      <c r="C12" s="138"/>
      <c r="D12" s="117"/>
      <c r="E12" s="143"/>
      <c r="F12" s="182"/>
      <c r="G12" s="182"/>
      <c r="H12" s="182"/>
      <c r="I12" s="183"/>
      <c r="J12" s="213"/>
      <c r="K12" s="214"/>
      <c r="L12" s="215"/>
      <c r="M12" s="257" t="s">
        <v>169</v>
      </c>
      <c r="N12" s="258"/>
      <c r="O12" s="258"/>
      <c r="P12" s="258"/>
      <c r="Q12" s="258"/>
      <c r="R12" s="258"/>
      <c r="S12" s="259"/>
      <c r="T12" s="111"/>
      <c r="U12" s="111"/>
      <c r="V12" s="111"/>
      <c r="W12" s="111"/>
      <c r="X12" s="111"/>
      <c r="JB12"/>
    </row>
    <row r="13" spans="1:262" ht="15.75" x14ac:dyDescent="0.25">
      <c r="A13" s="112"/>
      <c r="B13" s="125" t="s">
        <v>124</v>
      </c>
      <c r="C13" s="138" t="s">
        <v>5</v>
      </c>
      <c r="D13" s="117"/>
      <c r="E13" s="153" t="s">
        <v>134</v>
      </c>
      <c r="F13" s="154" t="s">
        <v>135</v>
      </c>
      <c r="G13" s="151"/>
      <c r="H13" s="151"/>
      <c r="I13" s="152"/>
      <c r="J13" s="213"/>
      <c r="K13" s="214"/>
      <c r="L13" s="215"/>
      <c r="M13" s="260"/>
      <c r="N13" s="261"/>
      <c r="O13" s="261"/>
      <c r="P13" s="261"/>
      <c r="Q13" s="261"/>
      <c r="R13" s="261"/>
      <c r="S13" s="262"/>
      <c r="T13" s="111"/>
      <c r="U13" s="111"/>
      <c r="V13" s="111"/>
      <c r="W13" s="111"/>
      <c r="X13" s="111"/>
      <c r="JB13"/>
    </row>
    <row r="14" spans="1:262" x14ac:dyDescent="0.25">
      <c r="A14" s="112"/>
      <c r="B14" s="126" t="s">
        <v>85</v>
      </c>
      <c r="C14" s="138"/>
      <c r="D14" s="117"/>
      <c r="E14" s="248" t="s">
        <v>133</v>
      </c>
      <c r="F14" s="249"/>
      <c r="G14" s="249"/>
      <c r="H14" s="249"/>
      <c r="I14" s="250"/>
      <c r="J14" s="213"/>
      <c r="K14" s="214"/>
      <c r="L14" s="215"/>
      <c r="M14" s="263" t="s">
        <v>164</v>
      </c>
      <c r="N14" s="264"/>
      <c r="O14" s="264"/>
      <c r="P14" s="264"/>
      <c r="Q14" s="264"/>
      <c r="R14" s="266" t="s">
        <v>120</v>
      </c>
      <c r="S14" s="267"/>
      <c r="T14" s="111"/>
      <c r="U14" s="111"/>
      <c r="V14" s="111"/>
      <c r="W14" s="111"/>
      <c r="X14" s="111"/>
      <c r="JB14"/>
    </row>
    <row r="15" spans="1:262" ht="15" customHeight="1" x14ac:dyDescent="0.25">
      <c r="A15" s="112"/>
      <c r="B15" s="128" t="s">
        <v>130</v>
      </c>
      <c r="C15" s="138"/>
      <c r="D15" s="117"/>
      <c r="E15" s="155">
        <f>IF(C5="Please Select",0,C23*C5)</f>
        <v>0</v>
      </c>
      <c r="F15" s="156">
        <f>E15*1.1</f>
        <v>0</v>
      </c>
      <c r="G15" s="253" t="s">
        <v>94</v>
      </c>
      <c r="H15" s="253"/>
      <c r="I15" s="254"/>
      <c r="J15" s="213"/>
      <c r="K15" s="214"/>
      <c r="L15" s="215"/>
      <c r="M15" s="263" t="s">
        <v>170</v>
      </c>
      <c r="N15" s="264"/>
      <c r="O15" s="264"/>
      <c r="P15" s="264"/>
      <c r="Q15" s="264"/>
      <c r="R15" s="268"/>
      <c r="S15" s="269"/>
      <c r="T15" s="111"/>
      <c r="U15" s="111"/>
      <c r="V15" s="111"/>
      <c r="W15" s="111"/>
      <c r="X15" s="111"/>
      <c r="JB15"/>
    </row>
    <row r="16" spans="1:262" x14ac:dyDescent="0.25">
      <c r="A16" s="112"/>
      <c r="B16" s="125" t="s">
        <v>82</v>
      </c>
      <c r="C16" s="138" t="s">
        <v>118</v>
      </c>
      <c r="D16" s="114"/>
      <c r="E16" s="155">
        <f>IF(C8="Please Select",0,(C28*C26)*C27+IF(C$21="&lt;40Km",Sheet1!D7,Sheet1!D7+Sheet1!E7)+(C8*Sheet1!D21))</f>
        <v>0</v>
      </c>
      <c r="F16" s="156">
        <f t="shared" ref="F16:F20" si="1">E16*1.1</f>
        <v>0</v>
      </c>
      <c r="G16" s="253" t="s">
        <v>89</v>
      </c>
      <c r="H16" s="253"/>
      <c r="I16" s="254"/>
      <c r="J16" s="213"/>
      <c r="K16" s="214"/>
      <c r="L16" s="215"/>
      <c r="M16" s="263" t="s">
        <v>165</v>
      </c>
      <c r="N16" s="264"/>
      <c r="O16" s="264"/>
      <c r="P16" s="264"/>
      <c r="Q16" s="264"/>
      <c r="R16" s="270"/>
      <c r="S16" s="271"/>
      <c r="T16" s="236">
        <f ca="1">YEAR( TODAY())-R17</f>
        <v>2019</v>
      </c>
      <c r="U16" s="111"/>
      <c r="V16" s="111"/>
      <c r="W16" s="111"/>
      <c r="X16" s="111"/>
      <c r="JB16"/>
    </row>
    <row r="17" spans="1:262" x14ac:dyDescent="0.25">
      <c r="A17" s="112"/>
      <c r="B17" s="127" t="s">
        <v>83</v>
      </c>
      <c r="C17" s="139" t="s">
        <v>6</v>
      </c>
      <c r="D17" s="115"/>
      <c r="E17" s="155">
        <f>IF(C13="YES",IF((C12+C14)&lt;=(C10*1.1),(C14*Sheet1!D63)*C27,IF(((C10*1.1)-C12)&lt;0,0,(((C10*1.1)-C12)*Sheet1!D63)*C27)),0)</f>
        <v>0</v>
      </c>
      <c r="F17" s="156">
        <f t="shared" si="1"/>
        <v>0</v>
      </c>
      <c r="G17" s="253" t="s">
        <v>95</v>
      </c>
      <c r="H17" s="253"/>
      <c r="I17" s="254"/>
      <c r="J17" s="213"/>
      <c r="K17" s="214"/>
      <c r="L17" s="215"/>
      <c r="M17" s="263" t="s">
        <v>104</v>
      </c>
      <c r="N17" s="264"/>
      <c r="O17" s="264"/>
      <c r="P17" s="264"/>
      <c r="Q17" s="264"/>
      <c r="R17" s="270"/>
      <c r="S17" s="271"/>
      <c r="T17" s="236">
        <f>R16-R17</f>
        <v>0</v>
      </c>
      <c r="U17" s="111"/>
      <c r="V17" s="111"/>
      <c r="W17" s="111"/>
      <c r="X17" s="111"/>
    </row>
    <row r="18" spans="1:262" ht="16.5" thickBot="1" x14ac:dyDescent="0.3">
      <c r="A18" s="112"/>
      <c r="B18" s="128" t="s">
        <v>152</v>
      </c>
      <c r="C18" s="139" t="s">
        <v>6</v>
      </c>
      <c r="D18" s="115"/>
      <c r="E18" s="155">
        <f>IF(C4="Please Select",0,((C10+C12)*Sheet1!D60)*C27)</f>
        <v>0</v>
      </c>
      <c r="F18" s="156">
        <f t="shared" si="1"/>
        <v>0</v>
      </c>
      <c r="G18" s="251" t="s">
        <v>90</v>
      </c>
      <c r="H18" s="251"/>
      <c r="I18" s="252"/>
      <c r="J18" s="213"/>
      <c r="K18" s="214"/>
      <c r="L18" s="215"/>
      <c r="M18" s="265" t="s">
        <v>171</v>
      </c>
      <c r="N18" s="255"/>
      <c r="O18" s="255"/>
      <c r="P18" s="255"/>
      <c r="Q18" s="255"/>
      <c r="R18" s="255">
        <f>IF(R17="",0,(R15-((R15-HLOOKUP(R14,'Maximum Capital Rates - School'!A2:F14,8,FALSE))/(HLOOKUP(R14,'Maximum Capital Rates - School'!A2:F14,4,FALSE)-T17))*(T16-T17)))</f>
        <v>0</v>
      </c>
      <c r="S18" s="256"/>
      <c r="T18" s="111"/>
      <c r="U18" s="111"/>
      <c r="V18" s="111"/>
      <c r="W18" s="111"/>
      <c r="X18" s="111"/>
    </row>
    <row r="19" spans="1:262" x14ac:dyDescent="0.25">
      <c r="A19" s="112"/>
      <c r="B19" s="128" t="s">
        <v>125</v>
      </c>
      <c r="C19" s="138" t="s">
        <v>5</v>
      </c>
      <c r="D19" s="115"/>
      <c r="E19" s="155">
        <f>SUM(E15:E18)*Sheet1!C66</f>
        <v>0</v>
      </c>
      <c r="F19" s="156">
        <f t="shared" si="1"/>
        <v>0</v>
      </c>
      <c r="G19" s="251" t="s">
        <v>115</v>
      </c>
      <c r="H19" s="251"/>
      <c r="I19" s="252"/>
      <c r="J19" s="213"/>
      <c r="K19" s="214"/>
      <c r="L19" s="215"/>
      <c r="M19" s="215"/>
      <c r="N19" s="215"/>
      <c r="O19" s="215"/>
      <c r="P19" s="215"/>
      <c r="Q19" s="215"/>
      <c r="R19" s="215"/>
      <c r="S19" s="215"/>
      <c r="T19" s="111"/>
      <c r="U19" s="111"/>
      <c r="V19" s="111"/>
      <c r="W19" s="111"/>
      <c r="X19" s="111"/>
    </row>
    <row r="20" spans="1:262" ht="15.75" x14ac:dyDescent="0.25">
      <c r="A20" s="112"/>
      <c r="B20" s="127" t="s">
        <v>92</v>
      </c>
      <c r="C20" s="139"/>
      <c r="D20" s="115"/>
      <c r="E20" s="155">
        <f>SUM(E15:E19)</f>
        <v>0</v>
      </c>
      <c r="F20" s="156">
        <f t="shared" si="1"/>
        <v>0</v>
      </c>
      <c r="G20" s="272" t="s">
        <v>99</v>
      </c>
      <c r="H20" s="272"/>
      <c r="I20" s="273"/>
      <c r="J20" s="213"/>
      <c r="K20" s="214"/>
      <c r="L20" s="215"/>
      <c r="M20" s="215"/>
      <c r="N20" s="215"/>
      <c r="O20" s="215"/>
      <c r="P20" s="215"/>
      <c r="Q20" s="215"/>
      <c r="R20" s="215"/>
      <c r="S20" s="215"/>
      <c r="T20" s="111"/>
      <c r="U20" s="111"/>
      <c r="V20" s="111"/>
      <c r="W20" s="111"/>
      <c r="X20" s="111"/>
      <c r="JB20"/>
    </row>
    <row r="21" spans="1:262" ht="16.5" thickBot="1" x14ac:dyDescent="0.3">
      <c r="A21" s="112"/>
      <c r="B21" s="163" t="s">
        <v>126</v>
      </c>
      <c r="C21" s="164" t="s">
        <v>110</v>
      </c>
      <c r="D21" s="116"/>
      <c r="E21" s="144"/>
      <c r="F21" s="118"/>
      <c r="G21" s="118"/>
      <c r="H21" s="272"/>
      <c r="I21" s="273"/>
      <c r="J21" s="213"/>
      <c r="K21" s="214"/>
      <c r="L21" s="215"/>
      <c r="M21" s="215"/>
      <c r="N21" s="215"/>
      <c r="O21" s="215"/>
      <c r="P21" s="215"/>
      <c r="Q21" s="215"/>
      <c r="R21" s="215"/>
      <c r="S21" s="215"/>
      <c r="T21" s="111"/>
      <c r="U21" s="111"/>
      <c r="V21" s="111"/>
      <c r="W21" s="111"/>
      <c r="X21" s="111"/>
      <c r="JB21"/>
    </row>
    <row r="22" spans="1:262" x14ac:dyDescent="0.25">
      <c r="A22" s="112"/>
      <c r="B22" s="119" t="s">
        <v>155</v>
      </c>
      <c r="C22" s="189" t="e">
        <f>C10/(C11/60)</f>
        <v>#DIV/0!</v>
      </c>
      <c r="D22" s="116"/>
      <c r="E22" s="276" t="s">
        <v>132</v>
      </c>
      <c r="F22" s="277"/>
      <c r="G22" s="277"/>
      <c r="H22" s="277"/>
      <c r="I22" s="278"/>
      <c r="J22" s="213"/>
      <c r="K22" s="214"/>
      <c r="L22" s="215"/>
      <c r="M22" s="215"/>
      <c r="N22" s="215"/>
      <c r="O22" s="215"/>
      <c r="P22" s="215"/>
      <c r="Q22" s="215"/>
      <c r="R22" s="215"/>
      <c r="S22" s="215"/>
      <c r="T22" s="111"/>
      <c r="U22" s="111"/>
      <c r="V22" s="111"/>
      <c r="W22" s="111"/>
      <c r="X22" s="111"/>
      <c r="JB22"/>
    </row>
    <row r="23" spans="1:262" x14ac:dyDescent="0.25">
      <c r="A23" s="112"/>
      <c r="B23" s="119" t="s">
        <v>78</v>
      </c>
      <c r="C23" s="121">
        <f>IF(C2="Please Select",0,Sheet1!F39+(IF(C6="Yes",2180,695)))</f>
        <v>11733.04</v>
      </c>
      <c r="D23" s="116"/>
      <c r="E23" s="146">
        <f>IFERROR(SUM(S3:S8),0)</f>
        <v>0</v>
      </c>
      <c r="F23" s="147">
        <f>E23*1.1</f>
        <v>0</v>
      </c>
      <c r="G23" s="253" t="s">
        <v>101</v>
      </c>
      <c r="H23" s="253"/>
      <c r="I23" s="254"/>
      <c r="J23" s="213"/>
      <c r="K23" s="214"/>
      <c r="L23" s="215"/>
      <c r="M23" s="215"/>
      <c r="N23" s="215"/>
      <c r="O23" s="215"/>
      <c r="P23" s="215"/>
      <c r="Q23" s="215"/>
      <c r="R23" s="215"/>
      <c r="S23" s="215"/>
      <c r="T23" s="111"/>
      <c r="U23" s="111"/>
      <c r="V23" s="111"/>
      <c r="W23" s="111"/>
      <c r="X23" s="111"/>
      <c r="JB23"/>
    </row>
    <row r="24" spans="1:262" x14ac:dyDescent="0.25">
      <c r="A24" s="112"/>
      <c r="B24" s="119" t="s">
        <v>102</v>
      </c>
      <c r="C24" s="120">
        <f>IF(C4="Please Select",0,Sheet1!D60)</f>
        <v>0</v>
      </c>
      <c r="D24" s="116"/>
      <c r="E24" s="146">
        <f>SUM(T3:T8)</f>
        <v>0</v>
      </c>
      <c r="F24" s="147">
        <f t="shared" ref="F24:F25" si="2">E24*1.1</f>
        <v>0</v>
      </c>
      <c r="G24" s="253" t="s">
        <v>138</v>
      </c>
      <c r="H24" s="253"/>
      <c r="I24" s="254"/>
      <c r="J24" s="213"/>
      <c r="K24" s="214"/>
      <c r="L24" s="215"/>
      <c r="M24" s="215"/>
      <c r="N24" s="215"/>
      <c r="O24" s="215"/>
      <c r="P24" s="215"/>
      <c r="Q24" s="215"/>
      <c r="R24" s="215"/>
      <c r="S24" s="215"/>
      <c r="T24" s="111"/>
      <c r="U24" s="111"/>
      <c r="V24" s="111"/>
      <c r="W24" s="111"/>
      <c r="X24" s="111"/>
      <c r="JB24"/>
    </row>
    <row r="25" spans="1:262" ht="18" thickBot="1" x14ac:dyDescent="0.35">
      <c r="A25" s="112"/>
      <c r="B25" s="119" t="s">
        <v>103</v>
      </c>
      <c r="C25" s="120">
        <f>Sheet1!D63</f>
        <v>0.68</v>
      </c>
      <c r="D25" s="116"/>
      <c r="E25" s="148">
        <f>E20+E23+E24</f>
        <v>0</v>
      </c>
      <c r="F25" s="149">
        <f t="shared" si="2"/>
        <v>0</v>
      </c>
      <c r="G25" s="274" t="s">
        <v>137</v>
      </c>
      <c r="H25" s="274"/>
      <c r="I25" s="275"/>
      <c r="J25" s="213"/>
      <c r="K25" s="214"/>
      <c r="L25" s="215"/>
      <c r="M25" s="215"/>
      <c r="N25" s="215"/>
      <c r="O25" s="215"/>
      <c r="P25" s="215"/>
      <c r="Q25" s="215"/>
      <c r="R25" s="215"/>
      <c r="S25" s="215"/>
      <c r="T25" s="111"/>
      <c r="U25" s="111"/>
      <c r="V25" s="111"/>
      <c r="W25" s="111"/>
      <c r="X25" s="111"/>
    </row>
    <row r="26" spans="1:262" x14ac:dyDescent="0.25">
      <c r="A26" s="112"/>
      <c r="B26" s="119" t="s">
        <v>127</v>
      </c>
      <c r="C26" s="121">
        <f>Driver_Weekday</f>
        <v>31.951839999999997</v>
      </c>
      <c r="D26" s="112"/>
      <c r="E26" s="112" t="s">
        <v>131</v>
      </c>
      <c r="F26" s="113"/>
      <c r="G26" s="113"/>
      <c r="H26" s="113"/>
      <c r="I26" s="113"/>
      <c r="J26" s="116"/>
      <c r="K26" s="116"/>
      <c r="L26" s="116"/>
      <c r="M26" s="116"/>
      <c r="N26" s="116"/>
      <c r="O26" s="116"/>
      <c r="P26" s="116"/>
      <c r="Q26" s="116"/>
      <c r="R26" s="116"/>
      <c r="S26" s="116"/>
      <c r="T26" s="111"/>
      <c r="U26" s="111"/>
      <c r="V26" s="111"/>
      <c r="W26" s="111"/>
      <c r="X26" s="111"/>
    </row>
    <row r="27" spans="1:262" x14ac:dyDescent="0.25">
      <c r="A27" s="112"/>
      <c r="B27" s="119" t="s">
        <v>84</v>
      </c>
      <c r="C27" s="122">
        <v>195</v>
      </c>
      <c r="D27" s="113"/>
      <c r="E27" s="112"/>
      <c r="F27" s="116"/>
      <c r="G27" s="116"/>
      <c r="H27" s="116"/>
      <c r="I27" s="116"/>
      <c r="J27" s="116"/>
      <c r="K27" s="116"/>
      <c r="L27" s="116"/>
      <c r="M27" s="116"/>
      <c r="N27" s="116"/>
      <c r="O27" s="116"/>
      <c r="P27" s="116"/>
      <c r="Q27" s="116"/>
      <c r="R27" s="116"/>
      <c r="S27" s="116"/>
      <c r="T27" s="111"/>
      <c r="U27" s="111"/>
      <c r="V27" s="111"/>
      <c r="W27" s="111"/>
      <c r="X27" s="111"/>
    </row>
    <row r="28" spans="1:262" ht="15.75" thickBot="1" x14ac:dyDescent="0.3">
      <c r="A28" s="112"/>
      <c r="B28" s="123" t="s">
        <v>93</v>
      </c>
      <c r="C28" s="124">
        <f>IFERROR(IF(C9="YES",(4*C8),IF(C8&gt;0,IF(((C12+IF(C13="YES",C14,0))&lt;=(C10*1.1)),CEILING(((C12)/IF((C10/(C11/60))&lt;35,35,(C10/(C11/60))))+(C10/(C10/(C11/60)))+((25/60)*C5)+(C15/60)+IF(C13="YES",((C14*C8)/IF((C10/(C11/60))&lt;35,35,(C10/(C11/60)))),0),0.25),CEILING((C10+(C10*1.1))/IF((C10/(C11/60))&lt;35,35,(C10/(C11/60)))+((25/60)*C5)+(C15/60),0.25)))),0)</f>
        <v>0</v>
      </c>
      <c r="D28" s="113"/>
      <c r="E28" s="112"/>
      <c r="F28" s="116"/>
      <c r="G28" s="116"/>
      <c r="H28" s="116"/>
      <c r="I28" s="116"/>
      <c r="J28" s="116"/>
      <c r="K28" s="116"/>
      <c r="L28" s="116"/>
      <c r="M28" s="116"/>
      <c r="N28" s="116"/>
      <c r="O28" s="116"/>
      <c r="P28" s="116"/>
      <c r="Q28" s="116"/>
      <c r="R28" s="116"/>
      <c r="S28" s="116"/>
      <c r="T28" s="111"/>
      <c r="U28" s="111"/>
      <c r="V28" s="111"/>
      <c r="W28" s="111"/>
      <c r="X28" s="111"/>
    </row>
    <row r="29" spans="1:262" x14ac:dyDescent="0.25">
      <c r="B29" s="112"/>
      <c r="C29" s="113"/>
      <c r="D29" s="113"/>
      <c r="E29" s="113"/>
      <c r="F29" s="113"/>
      <c r="G29" s="113"/>
      <c r="H29" s="113"/>
      <c r="I29" s="113"/>
      <c r="J29" s="113"/>
      <c r="K29" s="113"/>
      <c r="L29" s="113"/>
      <c r="M29" s="113"/>
      <c r="N29" s="113"/>
      <c r="O29" s="113"/>
      <c r="P29" s="113"/>
      <c r="Q29" s="113"/>
      <c r="R29" s="113"/>
      <c r="S29" s="113"/>
      <c r="T29" s="237" t="s">
        <v>174</v>
      </c>
      <c r="U29" s="111"/>
      <c r="V29" s="111"/>
      <c r="W29" s="111"/>
      <c r="X29" s="111"/>
    </row>
    <row r="33" spans="8:8" x14ac:dyDescent="0.25">
      <c r="H33" s="216"/>
    </row>
    <row r="104" spans="4:261" ht="15.75" x14ac:dyDescent="0.25">
      <c r="D104" s="42"/>
    </row>
    <row r="105" spans="4:261" x14ac:dyDescent="0.25">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row>
    <row r="106" spans="4:261" x14ac:dyDescent="0.25">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row>
    <row r="107" spans="4:261" ht="15.75" x14ac:dyDescent="0.25">
      <c r="E107" s="44"/>
      <c r="F107" s="39"/>
      <c r="G107" s="39"/>
      <c r="H107" s="40"/>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row>
    <row r="108" spans="4:261" x14ac:dyDescent="0.25">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row>
    <row r="109" spans="4:261" x14ac:dyDescent="0.25">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row>
    <row r="110" spans="4:261" x14ac:dyDescent="0.25">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row>
  </sheetData>
  <sheetProtection algorithmName="SHA-512" hashValue="voQX6YZxrqjkBQTEy69QsNyIAneoijBi2WA/ZhsXMebvoiJqcx9cw8Ipgwg4hPEBb5zdia4n/j/kHrnEuHGpHg==" saltValue="aGi7tfrNnO17LB8eEdk40Q==" spinCount="100000" sheet="1" objects="1" scenarios="1" selectLockedCells="1"/>
  <protectedRanges>
    <protectedRange sqref="K3:R8" name="Approved Vehicles2"/>
    <protectedRange sqref="C2:C21 R14" name="Contract Data"/>
    <protectedRange sqref="E3:I8" name="Approved Vehicles1"/>
  </protectedRanges>
  <mergeCells count="25">
    <mergeCell ref="R15:S15"/>
    <mergeCell ref="R16:S16"/>
    <mergeCell ref="R17:S17"/>
    <mergeCell ref="G20:I20"/>
    <mergeCell ref="G25:I25"/>
    <mergeCell ref="G23:I23"/>
    <mergeCell ref="G24:I24"/>
    <mergeCell ref="H21:I21"/>
    <mergeCell ref="E22:I22"/>
    <mergeCell ref="S1:T1"/>
    <mergeCell ref="E11:I11"/>
    <mergeCell ref="E14:I14"/>
    <mergeCell ref="G19:I19"/>
    <mergeCell ref="G18:I18"/>
    <mergeCell ref="G17:I17"/>
    <mergeCell ref="G16:I16"/>
    <mergeCell ref="G15:I15"/>
    <mergeCell ref="R18:S18"/>
    <mergeCell ref="M12:S13"/>
    <mergeCell ref="M14:Q14"/>
    <mergeCell ref="M15:Q15"/>
    <mergeCell ref="M16:Q16"/>
    <mergeCell ref="M17:Q17"/>
    <mergeCell ref="M18:Q18"/>
    <mergeCell ref="R14:S14"/>
  </mergeCells>
  <dataValidations count="29">
    <dataValidation type="list" allowBlank="1" showInputMessage="1" showErrorMessage="1" sqref="WVO983110 C65580 JC65606 SY65606 ACU65606 AMQ65606 AWM65606 BGI65606 BQE65606 CAA65606 CJW65606 CTS65606 DDO65606 DNK65606 DXG65606 EHC65606 EQY65606 FAU65606 FKQ65606 FUM65606 GEI65606 GOE65606 GYA65606 HHW65606 HRS65606 IBO65606 ILK65606 IVG65606 JFC65606 JOY65606 JYU65606 KIQ65606 KSM65606 LCI65606 LME65606 LWA65606 MFW65606 MPS65606 MZO65606 NJK65606 NTG65606 ODC65606 OMY65606 OWU65606 PGQ65606 PQM65606 QAI65606 QKE65606 QUA65606 RDW65606 RNS65606 RXO65606 SHK65606 SRG65606 TBC65606 TKY65606 TUU65606 UEQ65606 UOM65606 UYI65606 VIE65606 VSA65606 WBW65606 WLS65606 WVO65606 C131116 JC131142 SY131142 ACU131142 AMQ131142 AWM131142 BGI131142 BQE131142 CAA131142 CJW131142 CTS131142 DDO131142 DNK131142 DXG131142 EHC131142 EQY131142 FAU131142 FKQ131142 FUM131142 GEI131142 GOE131142 GYA131142 HHW131142 HRS131142 IBO131142 ILK131142 IVG131142 JFC131142 JOY131142 JYU131142 KIQ131142 KSM131142 LCI131142 LME131142 LWA131142 MFW131142 MPS131142 MZO131142 NJK131142 NTG131142 ODC131142 OMY131142 OWU131142 PGQ131142 PQM131142 QAI131142 QKE131142 QUA131142 RDW131142 RNS131142 RXO131142 SHK131142 SRG131142 TBC131142 TKY131142 TUU131142 UEQ131142 UOM131142 UYI131142 VIE131142 VSA131142 WBW131142 WLS131142 WVO131142 C196652 JC196678 SY196678 ACU196678 AMQ196678 AWM196678 BGI196678 BQE196678 CAA196678 CJW196678 CTS196678 DDO196678 DNK196678 DXG196678 EHC196678 EQY196678 FAU196678 FKQ196678 FUM196678 GEI196678 GOE196678 GYA196678 HHW196678 HRS196678 IBO196678 ILK196678 IVG196678 JFC196678 JOY196678 JYU196678 KIQ196678 KSM196678 LCI196678 LME196678 LWA196678 MFW196678 MPS196678 MZO196678 NJK196678 NTG196678 ODC196678 OMY196678 OWU196678 PGQ196678 PQM196678 QAI196678 QKE196678 QUA196678 RDW196678 RNS196678 RXO196678 SHK196678 SRG196678 TBC196678 TKY196678 TUU196678 UEQ196678 UOM196678 UYI196678 VIE196678 VSA196678 WBW196678 WLS196678 WVO196678 C262188 JC262214 SY262214 ACU262214 AMQ262214 AWM262214 BGI262214 BQE262214 CAA262214 CJW262214 CTS262214 DDO262214 DNK262214 DXG262214 EHC262214 EQY262214 FAU262214 FKQ262214 FUM262214 GEI262214 GOE262214 GYA262214 HHW262214 HRS262214 IBO262214 ILK262214 IVG262214 JFC262214 JOY262214 JYU262214 KIQ262214 KSM262214 LCI262214 LME262214 LWA262214 MFW262214 MPS262214 MZO262214 NJK262214 NTG262214 ODC262214 OMY262214 OWU262214 PGQ262214 PQM262214 QAI262214 QKE262214 QUA262214 RDW262214 RNS262214 RXO262214 SHK262214 SRG262214 TBC262214 TKY262214 TUU262214 UEQ262214 UOM262214 UYI262214 VIE262214 VSA262214 WBW262214 WLS262214 WVO262214 C327724 JC327750 SY327750 ACU327750 AMQ327750 AWM327750 BGI327750 BQE327750 CAA327750 CJW327750 CTS327750 DDO327750 DNK327750 DXG327750 EHC327750 EQY327750 FAU327750 FKQ327750 FUM327750 GEI327750 GOE327750 GYA327750 HHW327750 HRS327750 IBO327750 ILK327750 IVG327750 JFC327750 JOY327750 JYU327750 KIQ327750 KSM327750 LCI327750 LME327750 LWA327750 MFW327750 MPS327750 MZO327750 NJK327750 NTG327750 ODC327750 OMY327750 OWU327750 PGQ327750 PQM327750 QAI327750 QKE327750 QUA327750 RDW327750 RNS327750 RXO327750 SHK327750 SRG327750 TBC327750 TKY327750 TUU327750 UEQ327750 UOM327750 UYI327750 VIE327750 VSA327750 WBW327750 WLS327750 WVO327750 C393260 JC393286 SY393286 ACU393286 AMQ393286 AWM393286 BGI393286 BQE393286 CAA393286 CJW393286 CTS393286 DDO393286 DNK393286 DXG393286 EHC393286 EQY393286 FAU393286 FKQ393286 FUM393286 GEI393286 GOE393286 GYA393286 HHW393286 HRS393286 IBO393286 ILK393286 IVG393286 JFC393286 JOY393286 JYU393286 KIQ393286 KSM393286 LCI393286 LME393286 LWA393286 MFW393286 MPS393286 MZO393286 NJK393286 NTG393286 ODC393286 OMY393286 OWU393286 PGQ393286 PQM393286 QAI393286 QKE393286 QUA393286 RDW393286 RNS393286 RXO393286 SHK393286 SRG393286 TBC393286 TKY393286 TUU393286 UEQ393286 UOM393286 UYI393286 VIE393286 VSA393286 WBW393286 WLS393286 WVO393286 C458796 JC458822 SY458822 ACU458822 AMQ458822 AWM458822 BGI458822 BQE458822 CAA458822 CJW458822 CTS458822 DDO458822 DNK458822 DXG458822 EHC458822 EQY458822 FAU458822 FKQ458822 FUM458822 GEI458822 GOE458822 GYA458822 HHW458822 HRS458822 IBO458822 ILK458822 IVG458822 JFC458822 JOY458822 JYU458822 KIQ458822 KSM458822 LCI458822 LME458822 LWA458822 MFW458822 MPS458822 MZO458822 NJK458822 NTG458822 ODC458822 OMY458822 OWU458822 PGQ458822 PQM458822 QAI458822 QKE458822 QUA458822 RDW458822 RNS458822 RXO458822 SHK458822 SRG458822 TBC458822 TKY458822 TUU458822 UEQ458822 UOM458822 UYI458822 VIE458822 VSA458822 WBW458822 WLS458822 WVO458822 C524332 JC524358 SY524358 ACU524358 AMQ524358 AWM524358 BGI524358 BQE524358 CAA524358 CJW524358 CTS524358 DDO524358 DNK524358 DXG524358 EHC524358 EQY524358 FAU524358 FKQ524358 FUM524358 GEI524358 GOE524358 GYA524358 HHW524358 HRS524358 IBO524358 ILK524358 IVG524358 JFC524358 JOY524358 JYU524358 KIQ524358 KSM524358 LCI524358 LME524358 LWA524358 MFW524358 MPS524358 MZO524358 NJK524358 NTG524358 ODC524358 OMY524358 OWU524358 PGQ524358 PQM524358 QAI524358 QKE524358 QUA524358 RDW524358 RNS524358 RXO524358 SHK524358 SRG524358 TBC524358 TKY524358 TUU524358 UEQ524358 UOM524358 UYI524358 VIE524358 VSA524358 WBW524358 WLS524358 WVO524358 C589868 JC589894 SY589894 ACU589894 AMQ589894 AWM589894 BGI589894 BQE589894 CAA589894 CJW589894 CTS589894 DDO589894 DNK589894 DXG589894 EHC589894 EQY589894 FAU589894 FKQ589894 FUM589894 GEI589894 GOE589894 GYA589894 HHW589894 HRS589894 IBO589894 ILK589894 IVG589894 JFC589894 JOY589894 JYU589894 KIQ589894 KSM589894 LCI589894 LME589894 LWA589894 MFW589894 MPS589894 MZO589894 NJK589894 NTG589894 ODC589894 OMY589894 OWU589894 PGQ589894 PQM589894 QAI589894 QKE589894 QUA589894 RDW589894 RNS589894 RXO589894 SHK589894 SRG589894 TBC589894 TKY589894 TUU589894 UEQ589894 UOM589894 UYI589894 VIE589894 VSA589894 WBW589894 WLS589894 WVO589894 C655404 JC655430 SY655430 ACU655430 AMQ655430 AWM655430 BGI655430 BQE655430 CAA655430 CJW655430 CTS655430 DDO655430 DNK655430 DXG655430 EHC655430 EQY655430 FAU655430 FKQ655430 FUM655430 GEI655430 GOE655430 GYA655430 HHW655430 HRS655430 IBO655430 ILK655430 IVG655430 JFC655430 JOY655430 JYU655430 KIQ655430 KSM655430 LCI655430 LME655430 LWA655430 MFW655430 MPS655430 MZO655430 NJK655430 NTG655430 ODC655430 OMY655430 OWU655430 PGQ655430 PQM655430 QAI655430 QKE655430 QUA655430 RDW655430 RNS655430 RXO655430 SHK655430 SRG655430 TBC655430 TKY655430 TUU655430 UEQ655430 UOM655430 UYI655430 VIE655430 VSA655430 WBW655430 WLS655430 WVO655430 C720940 JC720966 SY720966 ACU720966 AMQ720966 AWM720966 BGI720966 BQE720966 CAA720966 CJW720966 CTS720966 DDO720966 DNK720966 DXG720966 EHC720966 EQY720966 FAU720966 FKQ720966 FUM720966 GEI720966 GOE720966 GYA720966 HHW720966 HRS720966 IBO720966 ILK720966 IVG720966 JFC720966 JOY720966 JYU720966 KIQ720966 KSM720966 LCI720966 LME720966 LWA720966 MFW720966 MPS720966 MZO720966 NJK720966 NTG720966 ODC720966 OMY720966 OWU720966 PGQ720966 PQM720966 QAI720966 QKE720966 QUA720966 RDW720966 RNS720966 RXO720966 SHK720966 SRG720966 TBC720966 TKY720966 TUU720966 UEQ720966 UOM720966 UYI720966 VIE720966 VSA720966 WBW720966 WLS720966 WVO720966 C786476 JC786502 SY786502 ACU786502 AMQ786502 AWM786502 BGI786502 BQE786502 CAA786502 CJW786502 CTS786502 DDO786502 DNK786502 DXG786502 EHC786502 EQY786502 FAU786502 FKQ786502 FUM786502 GEI786502 GOE786502 GYA786502 HHW786502 HRS786502 IBO786502 ILK786502 IVG786502 JFC786502 JOY786502 JYU786502 KIQ786502 KSM786502 LCI786502 LME786502 LWA786502 MFW786502 MPS786502 MZO786502 NJK786502 NTG786502 ODC786502 OMY786502 OWU786502 PGQ786502 PQM786502 QAI786502 QKE786502 QUA786502 RDW786502 RNS786502 RXO786502 SHK786502 SRG786502 TBC786502 TKY786502 TUU786502 UEQ786502 UOM786502 UYI786502 VIE786502 VSA786502 WBW786502 WLS786502 WVO786502 C852012 JC852038 SY852038 ACU852038 AMQ852038 AWM852038 BGI852038 BQE852038 CAA852038 CJW852038 CTS852038 DDO852038 DNK852038 DXG852038 EHC852038 EQY852038 FAU852038 FKQ852038 FUM852038 GEI852038 GOE852038 GYA852038 HHW852038 HRS852038 IBO852038 ILK852038 IVG852038 JFC852038 JOY852038 JYU852038 KIQ852038 KSM852038 LCI852038 LME852038 LWA852038 MFW852038 MPS852038 MZO852038 NJK852038 NTG852038 ODC852038 OMY852038 OWU852038 PGQ852038 PQM852038 QAI852038 QKE852038 QUA852038 RDW852038 RNS852038 RXO852038 SHK852038 SRG852038 TBC852038 TKY852038 TUU852038 UEQ852038 UOM852038 UYI852038 VIE852038 VSA852038 WBW852038 WLS852038 WVO852038 C917548 JC917574 SY917574 ACU917574 AMQ917574 AWM917574 BGI917574 BQE917574 CAA917574 CJW917574 CTS917574 DDO917574 DNK917574 DXG917574 EHC917574 EQY917574 FAU917574 FKQ917574 FUM917574 GEI917574 GOE917574 GYA917574 HHW917574 HRS917574 IBO917574 ILK917574 IVG917574 JFC917574 JOY917574 JYU917574 KIQ917574 KSM917574 LCI917574 LME917574 LWA917574 MFW917574 MPS917574 MZO917574 NJK917574 NTG917574 ODC917574 OMY917574 OWU917574 PGQ917574 PQM917574 QAI917574 QKE917574 QUA917574 RDW917574 RNS917574 RXO917574 SHK917574 SRG917574 TBC917574 TKY917574 TUU917574 UEQ917574 UOM917574 UYI917574 VIE917574 VSA917574 WBW917574 WLS917574 WVO917574 C983084 JC983110 SY983110 ACU983110 AMQ983110 AWM983110 BGI983110 BQE983110 CAA983110 CJW983110 CTS983110 DDO983110 DNK983110 DXG983110 EHC983110 EQY983110 FAU983110 FKQ983110 FUM983110 GEI983110 GOE983110 GYA983110 HHW983110 HRS983110 IBO983110 ILK983110 IVG983110 JFC983110 JOY983110 JYU983110 KIQ983110 KSM983110 LCI983110 LME983110 LWA983110 MFW983110 MPS983110 MZO983110 NJK983110 NTG983110 ODC983110 OMY983110 OWU983110 PGQ983110 PQM983110 QAI983110 QKE983110 QUA983110 RDW983110 RNS983110 RXO983110 SHK983110 SRG983110 TBC983110 TKY983110 TUU983110 UEQ983110 UOM983110 UYI983110 VIE983110 VSA983110 WBW983110 WLS983110 C18">
      <formula1>"Base, Step 1"</formula1>
    </dataValidation>
    <dataValidation type="list" allowBlank="1" showInputMessage="1" showErrorMessage="1" sqref="WVO983029 C65499 JC65525 SY65525 ACU65525 AMQ65525 AWM65525 BGI65525 BQE65525 CAA65525 CJW65525 CTS65525 DDO65525 DNK65525 DXG65525 EHC65525 EQY65525 FAU65525 FKQ65525 FUM65525 GEI65525 GOE65525 GYA65525 HHW65525 HRS65525 IBO65525 ILK65525 IVG65525 JFC65525 JOY65525 JYU65525 KIQ65525 KSM65525 LCI65525 LME65525 LWA65525 MFW65525 MPS65525 MZO65525 NJK65525 NTG65525 ODC65525 OMY65525 OWU65525 PGQ65525 PQM65525 QAI65525 QKE65525 QUA65525 RDW65525 RNS65525 RXO65525 SHK65525 SRG65525 TBC65525 TKY65525 TUU65525 UEQ65525 UOM65525 UYI65525 VIE65525 VSA65525 WBW65525 WLS65525 WVO65525 C131035 JC131061 SY131061 ACU131061 AMQ131061 AWM131061 BGI131061 BQE131061 CAA131061 CJW131061 CTS131061 DDO131061 DNK131061 DXG131061 EHC131061 EQY131061 FAU131061 FKQ131061 FUM131061 GEI131061 GOE131061 GYA131061 HHW131061 HRS131061 IBO131061 ILK131061 IVG131061 JFC131061 JOY131061 JYU131061 KIQ131061 KSM131061 LCI131061 LME131061 LWA131061 MFW131061 MPS131061 MZO131061 NJK131061 NTG131061 ODC131061 OMY131061 OWU131061 PGQ131061 PQM131061 QAI131061 QKE131061 QUA131061 RDW131061 RNS131061 RXO131061 SHK131061 SRG131061 TBC131061 TKY131061 TUU131061 UEQ131061 UOM131061 UYI131061 VIE131061 VSA131061 WBW131061 WLS131061 WVO131061 C196571 JC196597 SY196597 ACU196597 AMQ196597 AWM196597 BGI196597 BQE196597 CAA196597 CJW196597 CTS196597 DDO196597 DNK196597 DXG196597 EHC196597 EQY196597 FAU196597 FKQ196597 FUM196597 GEI196597 GOE196597 GYA196597 HHW196597 HRS196597 IBO196597 ILK196597 IVG196597 JFC196597 JOY196597 JYU196597 KIQ196597 KSM196597 LCI196597 LME196597 LWA196597 MFW196597 MPS196597 MZO196597 NJK196597 NTG196597 ODC196597 OMY196597 OWU196597 PGQ196597 PQM196597 QAI196597 QKE196597 QUA196597 RDW196597 RNS196597 RXO196597 SHK196597 SRG196597 TBC196597 TKY196597 TUU196597 UEQ196597 UOM196597 UYI196597 VIE196597 VSA196597 WBW196597 WLS196597 WVO196597 C262107 JC262133 SY262133 ACU262133 AMQ262133 AWM262133 BGI262133 BQE262133 CAA262133 CJW262133 CTS262133 DDO262133 DNK262133 DXG262133 EHC262133 EQY262133 FAU262133 FKQ262133 FUM262133 GEI262133 GOE262133 GYA262133 HHW262133 HRS262133 IBO262133 ILK262133 IVG262133 JFC262133 JOY262133 JYU262133 KIQ262133 KSM262133 LCI262133 LME262133 LWA262133 MFW262133 MPS262133 MZO262133 NJK262133 NTG262133 ODC262133 OMY262133 OWU262133 PGQ262133 PQM262133 QAI262133 QKE262133 QUA262133 RDW262133 RNS262133 RXO262133 SHK262133 SRG262133 TBC262133 TKY262133 TUU262133 UEQ262133 UOM262133 UYI262133 VIE262133 VSA262133 WBW262133 WLS262133 WVO262133 C327643 JC327669 SY327669 ACU327669 AMQ327669 AWM327669 BGI327669 BQE327669 CAA327669 CJW327669 CTS327669 DDO327669 DNK327669 DXG327669 EHC327669 EQY327669 FAU327669 FKQ327669 FUM327669 GEI327669 GOE327669 GYA327669 HHW327669 HRS327669 IBO327669 ILK327669 IVG327669 JFC327669 JOY327669 JYU327669 KIQ327669 KSM327669 LCI327669 LME327669 LWA327669 MFW327669 MPS327669 MZO327669 NJK327669 NTG327669 ODC327669 OMY327669 OWU327669 PGQ327669 PQM327669 QAI327669 QKE327669 QUA327669 RDW327669 RNS327669 RXO327669 SHK327669 SRG327669 TBC327669 TKY327669 TUU327669 UEQ327669 UOM327669 UYI327669 VIE327669 VSA327669 WBW327669 WLS327669 WVO327669 C393179 JC393205 SY393205 ACU393205 AMQ393205 AWM393205 BGI393205 BQE393205 CAA393205 CJW393205 CTS393205 DDO393205 DNK393205 DXG393205 EHC393205 EQY393205 FAU393205 FKQ393205 FUM393205 GEI393205 GOE393205 GYA393205 HHW393205 HRS393205 IBO393205 ILK393205 IVG393205 JFC393205 JOY393205 JYU393205 KIQ393205 KSM393205 LCI393205 LME393205 LWA393205 MFW393205 MPS393205 MZO393205 NJK393205 NTG393205 ODC393205 OMY393205 OWU393205 PGQ393205 PQM393205 QAI393205 QKE393205 QUA393205 RDW393205 RNS393205 RXO393205 SHK393205 SRG393205 TBC393205 TKY393205 TUU393205 UEQ393205 UOM393205 UYI393205 VIE393205 VSA393205 WBW393205 WLS393205 WVO393205 C458715 JC458741 SY458741 ACU458741 AMQ458741 AWM458741 BGI458741 BQE458741 CAA458741 CJW458741 CTS458741 DDO458741 DNK458741 DXG458741 EHC458741 EQY458741 FAU458741 FKQ458741 FUM458741 GEI458741 GOE458741 GYA458741 HHW458741 HRS458741 IBO458741 ILK458741 IVG458741 JFC458741 JOY458741 JYU458741 KIQ458741 KSM458741 LCI458741 LME458741 LWA458741 MFW458741 MPS458741 MZO458741 NJK458741 NTG458741 ODC458741 OMY458741 OWU458741 PGQ458741 PQM458741 QAI458741 QKE458741 QUA458741 RDW458741 RNS458741 RXO458741 SHK458741 SRG458741 TBC458741 TKY458741 TUU458741 UEQ458741 UOM458741 UYI458741 VIE458741 VSA458741 WBW458741 WLS458741 WVO458741 C524251 JC524277 SY524277 ACU524277 AMQ524277 AWM524277 BGI524277 BQE524277 CAA524277 CJW524277 CTS524277 DDO524277 DNK524277 DXG524277 EHC524277 EQY524277 FAU524277 FKQ524277 FUM524277 GEI524277 GOE524277 GYA524277 HHW524277 HRS524277 IBO524277 ILK524277 IVG524277 JFC524277 JOY524277 JYU524277 KIQ524277 KSM524277 LCI524277 LME524277 LWA524277 MFW524277 MPS524277 MZO524277 NJK524277 NTG524277 ODC524277 OMY524277 OWU524277 PGQ524277 PQM524277 QAI524277 QKE524277 QUA524277 RDW524277 RNS524277 RXO524277 SHK524277 SRG524277 TBC524277 TKY524277 TUU524277 UEQ524277 UOM524277 UYI524277 VIE524277 VSA524277 WBW524277 WLS524277 WVO524277 C589787 JC589813 SY589813 ACU589813 AMQ589813 AWM589813 BGI589813 BQE589813 CAA589813 CJW589813 CTS589813 DDO589813 DNK589813 DXG589813 EHC589813 EQY589813 FAU589813 FKQ589813 FUM589813 GEI589813 GOE589813 GYA589813 HHW589813 HRS589813 IBO589813 ILK589813 IVG589813 JFC589813 JOY589813 JYU589813 KIQ589813 KSM589813 LCI589813 LME589813 LWA589813 MFW589813 MPS589813 MZO589813 NJK589813 NTG589813 ODC589813 OMY589813 OWU589813 PGQ589813 PQM589813 QAI589813 QKE589813 QUA589813 RDW589813 RNS589813 RXO589813 SHK589813 SRG589813 TBC589813 TKY589813 TUU589813 UEQ589813 UOM589813 UYI589813 VIE589813 VSA589813 WBW589813 WLS589813 WVO589813 C655323 JC655349 SY655349 ACU655349 AMQ655349 AWM655349 BGI655349 BQE655349 CAA655349 CJW655349 CTS655349 DDO655349 DNK655349 DXG655349 EHC655349 EQY655349 FAU655349 FKQ655349 FUM655349 GEI655349 GOE655349 GYA655349 HHW655349 HRS655349 IBO655349 ILK655349 IVG655349 JFC655349 JOY655349 JYU655349 KIQ655349 KSM655349 LCI655349 LME655349 LWA655349 MFW655349 MPS655349 MZO655349 NJK655349 NTG655349 ODC655349 OMY655349 OWU655349 PGQ655349 PQM655349 QAI655349 QKE655349 QUA655349 RDW655349 RNS655349 RXO655349 SHK655349 SRG655349 TBC655349 TKY655349 TUU655349 UEQ655349 UOM655349 UYI655349 VIE655349 VSA655349 WBW655349 WLS655349 WVO655349 C720859 JC720885 SY720885 ACU720885 AMQ720885 AWM720885 BGI720885 BQE720885 CAA720885 CJW720885 CTS720885 DDO720885 DNK720885 DXG720885 EHC720885 EQY720885 FAU720885 FKQ720885 FUM720885 GEI720885 GOE720885 GYA720885 HHW720885 HRS720885 IBO720885 ILK720885 IVG720885 JFC720885 JOY720885 JYU720885 KIQ720885 KSM720885 LCI720885 LME720885 LWA720885 MFW720885 MPS720885 MZO720885 NJK720885 NTG720885 ODC720885 OMY720885 OWU720885 PGQ720885 PQM720885 QAI720885 QKE720885 QUA720885 RDW720885 RNS720885 RXO720885 SHK720885 SRG720885 TBC720885 TKY720885 TUU720885 UEQ720885 UOM720885 UYI720885 VIE720885 VSA720885 WBW720885 WLS720885 WVO720885 C786395 JC786421 SY786421 ACU786421 AMQ786421 AWM786421 BGI786421 BQE786421 CAA786421 CJW786421 CTS786421 DDO786421 DNK786421 DXG786421 EHC786421 EQY786421 FAU786421 FKQ786421 FUM786421 GEI786421 GOE786421 GYA786421 HHW786421 HRS786421 IBO786421 ILK786421 IVG786421 JFC786421 JOY786421 JYU786421 KIQ786421 KSM786421 LCI786421 LME786421 LWA786421 MFW786421 MPS786421 MZO786421 NJK786421 NTG786421 ODC786421 OMY786421 OWU786421 PGQ786421 PQM786421 QAI786421 QKE786421 QUA786421 RDW786421 RNS786421 RXO786421 SHK786421 SRG786421 TBC786421 TKY786421 TUU786421 UEQ786421 UOM786421 UYI786421 VIE786421 VSA786421 WBW786421 WLS786421 WVO786421 C851931 JC851957 SY851957 ACU851957 AMQ851957 AWM851957 BGI851957 BQE851957 CAA851957 CJW851957 CTS851957 DDO851957 DNK851957 DXG851957 EHC851957 EQY851957 FAU851957 FKQ851957 FUM851957 GEI851957 GOE851957 GYA851957 HHW851957 HRS851957 IBO851957 ILK851957 IVG851957 JFC851957 JOY851957 JYU851957 KIQ851957 KSM851957 LCI851957 LME851957 LWA851957 MFW851957 MPS851957 MZO851957 NJK851957 NTG851957 ODC851957 OMY851957 OWU851957 PGQ851957 PQM851957 QAI851957 QKE851957 QUA851957 RDW851957 RNS851957 RXO851957 SHK851957 SRG851957 TBC851957 TKY851957 TUU851957 UEQ851957 UOM851957 UYI851957 VIE851957 VSA851957 WBW851957 WLS851957 WVO851957 C917467 JC917493 SY917493 ACU917493 AMQ917493 AWM917493 BGI917493 BQE917493 CAA917493 CJW917493 CTS917493 DDO917493 DNK917493 DXG917493 EHC917493 EQY917493 FAU917493 FKQ917493 FUM917493 GEI917493 GOE917493 GYA917493 HHW917493 HRS917493 IBO917493 ILK917493 IVG917493 JFC917493 JOY917493 JYU917493 KIQ917493 KSM917493 LCI917493 LME917493 LWA917493 MFW917493 MPS917493 MZO917493 NJK917493 NTG917493 ODC917493 OMY917493 OWU917493 PGQ917493 PQM917493 QAI917493 QKE917493 QUA917493 RDW917493 RNS917493 RXO917493 SHK917493 SRG917493 TBC917493 TKY917493 TUU917493 UEQ917493 UOM917493 UYI917493 VIE917493 VSA917493 WBW917493 WLS917493 WVO917493 C983003 JC983029 SY983029 ACU983029 AMQ983029 AWM983029 BGI983029 BQE983029 CAA983029 CJW983029 CTS983029 DDO983029 DNK983029 DXG983029 EHC983029 EQY983029 FAU983029 FKQ983029 FUM983029 GEI983029 GOE983029 GYA983029 HHW983029 HRS983029 IBO983029 ILK983029 IVG983029 JFC983029 JOY983029 JYU983029 KIQ983029 KSM983029 LCI983029 LME983029 LWA983029 MFW983029 MPS983029 MZO983029 NJK983029 NTG983029 ODC983029 OMY983029 OWU983029 PGQ983029 PQM983029 QAI983029 QKE983029 QUA983029 RDW983029 RNS983029 RXO983029 SHK983029 SRG983029 TBC983029 TKY983029 TUU983029 UEQ983029 UOM983029 UYI983029 VIE983029 VSA983029 WBW983029 WLS983029 C19">
      <formula1>"YES,NO"</formula1>
    </dataValidation>
    <dataValidation type="list" allowBlank="1" showInputMessage="1" showErrorMessage="1" sqref="C4 R14">
      <formula1>"Please Select,Small,Medium,Large,X-Large,Articulated"</formula1>
    </dataValidation>
    <dataValidation type="list" allowBlank="1" showInputMessage="1" showErrorMessage="1" sqref="C17">
      <formula1>"Base, Step 1,Step 2"</formula1>
    </dataValidation>
    <dataValidation type="list" showInputMessage="1" showErrorMessage="1" sqref="C16">
      <formula1>"Tier 2,FI,KI"</formula1>
    </dataValidation>
    <dataValidation type="whole" operator="lessThanOrEqual" allowBlank="1" showInputMessage="1" showErrorMessage="1" sqref="D2:D7">
      <formula1>D1048566</formula1>
    </dataValidation>
    <dataValidation type="list" operator="lessThanOrEqual" allowBlank="1" showInputMessage="1" showErrorMessage="1" sqref="C21">
      <formula1>"&lt;40Km,&gt;40Km"</formula1>
    </dataValidation>
    <dataValidation type="decimal" errorStyle="information" operator="lessThanOrEqual" allowBlank="1" showInputMessage="1" showErrorMessage="1" errorTitle="Excessive Km" error="The total unloaded kilometres (shuttle vehicle and bus) exceeds 110% of the loaded kilometres.  _x000a_Driver time, wages, and payment of running allowances will be adjusted accordingly." sqref="C14">
      <formula1>(C10*1.1)-C12</formula1>
    </dataValidation>
    <dataValidation type="list" allowBlank="1" showInputMessage="1" showErrorMessage="1" sqref="C9 C6:C7 F3:F8">
      <formula1>"Please Select,NO,YES"</formula1>
    </dataValidation>
    <dataValidation type="list" allowBlank="1" showInputMessage="1" showErrorMessage="1" sqref="K3:K8">
      <formula1>"Please Select,Small,Medium,Large,X-Large,Artic"</formula1>
    </dataValidation>
    <dataValidation type="list" allowBlank="1" showInputMessage="1" showErrorMessage="1" sqref="C5 C8">
      <formula1>"Please Select,1,2,3,4,5,6"</formula1>
    </dataValidation>
    <dataValidation type="list" allowBlank="1" showInputMessage="1" showErrorMessage="1" sqref="C13 L3:L8">
      <formula1>"NO,YES"</formula1>
    </dataValidation>
    <dataValidation type="whole" operator="lessThanOrEqual" allowBlank="1" showInputMessage="1" showErrorMessage="1" sqref="C20">
      <formula1>C5</formula1>
    </dataValidation>
    <dataValidation errorStyle="information" operator="lessThanOrEqual" allowBlank="1" showInputMessage="1" showErrorMessage="1" sqref="C15"/>
    <dataValidation type="decimal" operator="lessThanOrEqual" allowBlank="1" showInputMessage="1" showErrorMessage="1" errorTitle="Excessive Unloaded Kilometres" error="The total unloaded bus kilometres exceeds 110% of the loaded kilometres. Please adjust to no more than 110% of the loaded kilometres. i.e. Loaded Km x 1.1_x000a_" sqref="C12">
      <formula1>(C10*1.1)</formula1>
    </dataValidation>
    <dataValidation type="decimal" errorStyle="warning" operator="greaterThan" allowBlank="1" showInputMessage="1" showErrorMessage="1" errorTitle="Unloaded Kilometres" error="The total unloaded kilometres (shuttle vehicle and bus) exceeds 110% of the loaded kilometres.  _x000a_This simple model does not cater for this scenario and will overestimate driver wages" sqref="C10">
      <formula1>(C12+C14)/1.1</formula1>
    </dataValidation>
    <dataValidation type="decimal" errorStyle="information" operator="lessThan" allowBlank="1" showInputMessage="1" showErrorMessage="1" errorTitle="Low Speed Alert" error="The average travel speed for the loaded trip is less than 35km/hr.  _x000a_The model will assume a miniumum unloaded travel time of 35km/hr for the calculation of Daily Driver Time." sqref="C11">
      <formula1>C10/35*60</formula1>
    </dataValidation>
    <dataValidation type="list" allowBlank="1" showInputMessage="1" showErrorMessage="1" sqref="C2">
      <formula1>"Please Select,School Bus Service,Special Needs Bus Service"</formula1>
    </dataValidation>
    <dataValidation type="list" operator="lessThanOrEqual" allowBlank="1" showInputMessage="1" showErrorMessage="1" error="_x000a_" sqref="P3:P8">
      <formula1>"NO,YES"</formula1>
    </dataValidation>
    <dataValidation type="decimal" operator="lessThanOrEqual" allowBlank="1" showInputMessage="1" showErrorMessage="1" errorTitle="Lift Cost Exceeds Cap" error="The Cap for supply and fitment of a wheelchair lift is $37,329. Please Enter a val;ue that is equal to or less than this amount. _x000a_All claims must be supported by reciepts._x000a_" sqref="Q3:Q8">
      <formula1>37329</formula1>
    </dataValidation>
    <dataValidation type="list" allowBlank="1" showInputMessage="1" showErrorMessage="1" sqref="O3:O8">
      <formula1>"NO"</formula1>
    </dataValidation>
    <dataValidation type="list" allowBlank="1" showInputMessage="1" showErrorMessage="1" sqref="C3">
      <formula1>"Normal,Novation"</formula1>
    </dataValidation>
    <dataValidation type="list" allowBlank="1" showInputMessage="1" showErrorMessage="1" sqref="G3:G8">
      <formula1>"Please Select,RSB,UFSO/RFP/LDSO,Urban/Town,UFGA"</formula1>
    </dataValidation>
    <dataValidation operator="lessThanOrEqual" allowBlank="1" showInputMessage="1" showErrorMessage="1" errorTitle="Value Not Valid" error="Value &gt; Cap or Size not selected. _x000a_Capped Entry Value =_x000a_- Small $133,718 or $143,718 where 3 for 2 required_x000a_- Medium $104,000 _x000a_- Large $124,000 _x000a_- X-Large $141,000 _x000a_- Artic $161,400_x000a_- Transition Vehicles $200,000" sqref="N3:N8"/>
    <dataValidation type="whole" operator="lessThanOrEqual" allowBlank="1" showInputMessage="1" showErrorMessage="1" errorTitle="Value Entered Above Cap" error="Value entered is not valid_x000a_Allowance is not available for Small or Transition vehicles and is capped at $20,000 for all other  vehicles. Claims for Additional Refurbishment must be supported by invoices from a 3rd Party  " sqref="R3:R8">
      <formula1>IF(OR(F3="Yes",K3="Small"),0,20000)</formula1>
    </dataValidation>
    <dataValidation type="decimal" operator="lessThanOrEqual" allowBlank="1" showInputMessage="1" showErrorMessage="1" sqref="H3:H8">
      <formula1>35000</formula1>
    </dataValidation>
    <dataValidation type="whole" operator="lessThanOrEqual" allowBlank="1" showInputMessage="1" showErrorMessage="1" errorTitle="Value Not Valid" error="VValue is greater than the Cap or Size not selected. _x000a_Check the maximum cap for the size &amp; age of the vehicle on the Maximum Capital Rates-School tab or select the size for the vehicle." sqref="M8">
      <formula1>W8</formula1>
    </dataValidation>
    <dataValidation type="whole" operator="lessThanOrEqual" allowBlank="1" showInputMessage="1" showErrorMessage="1" errorTitle="Value Not Valid" error="Value is greater than the Cap or Size not selected. _x000a_Check the maximum cap for the size &amp; age of the vehicle on the Maximum Capital Rates-School tab or select the size for the vehicle." sqref="M3:M6">
      <formula1>W3</formula1>
    </dataValidation>
    <dataValidation type="whole" operator="lessThanOrEqual" allowBlank="1" showInputMessage="1" showErrorMessage="1" errorTitle="Value Not Valid" error="Value is greater than the Cap or Size not selected. _x000a_Check the maximum cap for the size &amp; age of the vehicle on the Maximum Capital Rates-School tab or select the size for the vehicle." sqref="M7">
      <formula1>W7</formula1>
    </dataValidation>
  </dataValidations>
  <pageMargins left="0.7" right="0.7" top="0.75" bottom="0.75" header="0.3" footer="0.3"/>
  <pageSetup paperSize="9" scale="49" orientation="landscape" r:id="rId1"/>
  <customProperties>
    <customPr name="SSC_SHEET_GU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84"/>
  <sheetViews>
    <sheetView workbookViewId="0">
      <selection activeCell="H13" sqref="H13"/>
    </sheetView>
  </sheetViews>
  <sheetFormatPr defaultColWidth="8.85546875" defaultRowHeight="15.75" x14ac:dyDescent="0.25"/>
  <cols>
    <col min="1" max="1" width="30.7109375" style="51" customWidth="1"/>
    <col min="2" max="2" width="13.28515625" style="51" customWidth="1"/>
    <col min="3" max="3" width="15.42578125" style="51" customWidth="1"/>
    <col min="4" max="4" width="14.42578125" style="51" customWidth="1"/>
    <col min="5" max="6" width="16.28515625" style="51" customWidth="1"/>
    <col min="7" max="7" width="12.42578125" style="51" customWidth="1"/>
    <col min="8" max="8" width="15.85546875" style="51" customWidth="1"/>
    <col min="9" max="9" width="12.7109375" style="51" hidden="1" customWidth="1"/>
    <col min="10" max="10" width="16.5703125" style="52" hidden="1" customWidth="1"/>
    <col min="11" max="11" width="14" style="52" customWidth="1"/>
    <col min="12" max="12" width="10.42578125" style="52" customWidth="1"/>
    <col min="13" max="13" width="15" style="51" customWidth="1"/>
    <col min="14" max="14" width="13.140625" style="51" customWidth="1"/>
    <col min="15" max="15" width="12" style="51" customWidth="1"/>
    <col min="16" max="16" width="17.5703125" style="51" customWidth="1"/>
    <col min="17" max="17" width="12" style="51" customWidth="1"/>
    <col min="18" max="18" width="8.85546875" style="51" customWidth="1"/>
    <col min="19" max="19" width="12.7109375" style="51" customWidth="1"/>
    <col min="20" max="20" width="12.5703125" style="51" customWidth="1"/>
    <col min="21" max="21" width="8.42578125" style="51" customWidth="1"/>
    <col min="22" max="22" width="12.7109375" style="51" customWidth="1"/>
    <col min="23" max="23" width="14" style="51" customWidth="1"/>
    <col min="24" max="24" width="15.28515625" style="51" customWidth="1"/>
    <col min="25" max="25" width="12.7109375" style="51" customWidth="1"/>
    <col min="26" max="16384" width="8.85546875" style="51"/>
  </cols>
  <sheetData>
    <row r="1" spans="1:18" ht="15.6" customHeight="1" x14ac:dyDescent="0.25">
      <c r="A1" s="48" t="s">
        <v>64</v>
      </c>
      <c r="B1" s="49"/>
      <c r="C1" s="50"/>
      <c r="D1" s="50"/>
      <c r="E1" s="50"/>
      <c r="F1" s="50"/>
      <c r="G1" s="50"/>
    </row>
    <row r="2" spans="1:18" ht="15.6" customHeight="1" x14ac:dyDescent="0.25">
      <c r="A2" s="53"/>
      <c r="B2" s="54" t="s">
        <v>105</v>
      </c>
      <c r="C2" s="55" t="s">
        <v>106</v>
      </c>
      <c r="D2" s="55" t="s">
        <v>91</v>
      </c>
      <c r="E2" s="56" t="s">
        <v>107</v>
      </c>
      <c r="F2" s="56" t="s">
        <v>108</v>
      </c>
      <c r="G2" s="174"/>
      <c r="J2" s="133"/>
    </row>
    <row r="3" spans="1:18" ht="15.6" customHeight="1" x14ac:dyDescent="0.25">
      <c r="A3" s="57" t="s">
        <v>65</v>
      </c>
      <c r="B3" s="58">
        <v>0</v>
      </c>
      <c r="C3" s="58">
        <v>10</v>
      </c>
      <c r="D3" s="58">
        <v>10</v>
      </c>
      <c r="E3" s="58">
        <v>10</v>
      </c>
      <c r="F3" s="58">
        <v>10</v>
      </c>
      <c r="G3" s="41"/>
      <c r="H3" s="59"/>
      <c r="I3" s="59"/>
      <c r="J3" s="59"/>
      <c r="K3" s="59"/>
      <c r="L3" s="60"/>
    </row>
    <row r="4" spans="1:18" ht="15.6" customHeight="1" x14ac:dyDescent="0.25">
      <c r="A4" s="57" t="s">
        <v>66</v>
      </c>
      <c r="B4" s="58">
        <v>10</v>
      </c>
      <c r="C4" s="58">
        <v>20</v>
      </c>
      <c r="D4" s="58">
        <v>20</v>
      </c>
      <c r="E4" s="58">
        <v>20</v>
      </c>
      <c r="F4" s="58">
        <v>25</v>
      </c>
      <c r="G4" s="41"/>
      <c r="M4" s="129"/>
      <c r="O4" s="59"/>
      <c r="P4" s="59"/>
    </row>
    <row r="5" spans="1:18" ht="15.6" customHeight="1" x14ac:dyDescent="0.25">
      <c r="A5" s="57" t="s">
        <v>67</v>
      </c>
      <c r="B5" s="58">
        <v>10</v>
      </c>
      <c r="C5" s="58">
        <v>25</v>
      </c>
      <c r="D5" s="58">
        <v>25</v>
      </c>
      <c r="E5" s="58">
        <v>25</v>
      </c>
      <c r="F5" s="58">
        <v>25</v>
      </c>
      <c r="G5" s="41"/>
      <c r="M5" s="52"/>
      <c r="N5" s="61"/>
      <c r="O5" s="61"/>
      <c r="P5" s="61"/>
    </row>
    <row r="6" spans="1:18" ht="15.6" customHeight="1" x14ac:dyDescent="0.25">
      <c r="A6" s="62" t="s">
        <v>68</v>
      </c>
      <c r="B6" s="63">
        <v>133718</v>
      </c>
      <c r="C6" s="63">
        <v>104000</v>
      </c>
      <c r="D6" s="63">
        <v>124000</v>
      </c>
      <c r="E6" s="63">
        <v>141000</v>
      </c>
      <c r="F6" s="63">
        <v>161400</v>
      </c>
      <c r="G6" s="175"/>
      <c r="H6" s="52"/>
      <c r="I6" s="133"/>
      <c r="M6" s="52"/>
      <c r="N6" s="61"/>
      <c r="O6" s="61"/>
      <c r="P6" s="61"/>
      <c r="R6" s="61"/>
    </row>
    <row r="7" spans="1:18" ht="15.6" customHeight="1" x14ac:dyDescent="0.25">
      <c r="A7" s="64" t="s">
        <v>69</v>
      </c>
      <c r="B7" s="63">
        <v>1545</v>
      </c>
      <c r="C7" s="63">
        <v>30000</v>
      </c>
      <c r="D7" s="63">
        <v>30000</v>
      </c>
      <c r="E7" s="63">
        <v>30000</v>
      </c>
      <c r="F7" s="63">
        <v>35000</v>
      </c>
      <c r="G7" s="175"/>
      <c r="H7" s="52"/>
      <c r="I7" s="52"/>
      <c r="N7" s="61"/>
      <c r="O7" s="61"/>
      <c r="P7" s="61"/>
      <c r="R7" s="61"/>
    </row>
    <row r="8" spans="1:18" ht="15.6" customHeight="1" x14ac:dyDescent="0.25">
      <c r="A8" s="57" t="s">
        <v>70</v>
      </c>
      <c r="B8" s="63">
        <f>B6+B7</f>
        <v>135263</v>
      </c>
      <c r="C8" s="63">
        <f>C6+C7</f>
        <v>134000</v>
      </c>
      <c r="D8" s="63">
        <f>D6+D7</f>
        <v>154000</v>
      </c>
      <c r="E8" s="63">
        <f>E6+E7</f>
        <v>171000</v>
      </c>
      <c r="F8" s="63">
        <f>F6+F7</f>
        <v>196400</v>
      </c>
      <c r="G8" s="175"/>
      <c r="H8" s="52"/>
      <c r="I8" s="52"/>
      <c r="M8" s="52"/>
      <c r="N8" s="61"/>
      <c r="O8" s="61"/>
      <c r="P8" s="61"/>
      <c r="R8" s="61"/>
    </row>
    <row r="9" spans="1:18" ht="15.6" customHeight="1" x14ac:dyDescent="0.25">
      <c r="A9" s="57" t="s">
        <v>71</v>
      </c>
      <c r="B9" s="63">
        <v>28000</v>
      </c>
      <c r="C9" s="63">
        <v>3000</v>
      </c>
      <c r="D9" s="63">
        <v>3000</v>
      </c>
      <c r="E9" s="63">
        <v>3000</v>
      </c>
      <c r="F9" s="63">
        <v>10000</v>
      </c>
      <c r="G9" s="175"/>
      <c r="H9" s="52"/>
      <c r="I9" s="52"/>
      <c r="L9" s="134"/>
      <c r="M9" s="65"/>
      <c r="N9" s="61"/>
      <c r="O9" s="61"/>
      <c r="P9" s="61"/>
    </row>
    <row r="10" spans="1:18" ht="15.6" customHeight="1" x14ac:dyDescent="0.25">
      <c r="A10" s="57" t="s">
        <v>72</v>
      </c>
      <c r="B10" s="187">
        <f>(B8-B9)/(B5-B3)</f>
        <v>10726.3</v>
      </c>
      <c r="C10" s="187">
        <f>(C8-C9)/(C5-C3)</f>
        <v>8733.3333333333339</v>
      </c>
      <c r="D10" s="187">
        <f>(D8-D9)/(D5-D3)</f>
        <v>10066.666666666666</v>
      </c>
      <c r="E10" s="187">
        <f>(E8-E9)/(E5-E3)</f>
        <v>11200</v>
      </c>
      <c r="F10" s="187">
        <f>(F8-F9)/(F5-F3)</f>
        <v>12426.666666666666</v>
      </c>
      <c r="G10" s="175"/>
      <c r="J10" s="136"/>
      <c r="O10" s="61"/>
      <c r="P10" s="61"/>
    </row>
    <row r="11" spans="1:18" ht="15.6" customHeight="1" x14ac:dyDescent="0.25">
      <c r="A11" s="57" t="s">
        <v>73</v>
      </c>
      <c r="B11" s="66">
        <v>7.8700000000000006E-2</v>
      </c>
      <c r="C11" s="66">
        <f>B11</f>
        <v>7.8700000000000006E-2</v>
      </c>
      <c r="D11" s="66">
        <f t="shared" ref="D11:F11" si="0">C11</f>
        <v>7.8700000000000006E-2</v>
      </c>
      <c r="E11" s="66">
        <f t="shared" si="0"/>
        <v>7.8700000000000006E-2</v>
      </c>
      <c r="F11" s="66">
        <f t="shared" si="0"/>
        <v>7.8700000000000006E-2</v>
      </c>
      <c r="G11" s="176"/>
      <c r="H11" s="67"/>
      <c r="I11" s="67"/>
      <c r="J11" s="135"/>
      <c r="K11" s="67"/>
      <c r="L11" s="67"/>
      <c r="N11" s="61"/>
      <c r="O11" s="61"/>
      <c r="P11" s="61"/>
      <c r="R11" s="61"/>
    </row>
    <row r="12" spans="1:18" ht="15.6" customHeight="1" x14ac:dyDescent="0.25">
      <c r="A12" s="68" t="s">
        <v>74</v>
      </c>
      <c r="B12" s="66">
        <f>B11+1.5%</f>
        <v>9.3700000000000006E-2</v>
      </c>
      <c r="C12" s="66">
        <f t="shared" ref="C12:F12" si="1">C11+1.5%</f>
        <v>9.3700000000000006E-2</v>
      </c>
      <c r="D12" s="66">
        <f t="shared" si="1"/>
        <v>9.3700000000000006E-2</v>
      </c>
      <c r="E12" s="66">
        <f t="shared" si="1"/>
        <v>9.3700000000000006E-2</v>
      </c>
      <c r="F12" s="66">
        <f t="shared" si="1"/>
        <v>9.3700000000000006E-2</v>
      </c>
      <c r="G12" s="176"/>
    </row>
    <row r="13" spans="1:18" ht="15.6" customHeight="1" x14ac:dyDescent="0.25">
      <c r="A13" s="57" t="s">
        <v>75</v>
      </c>
      <c r="B13" s="69">
        <v>1</v>
      </c>
      <c r="C13" s="69">
        <v>0.8</v>
      </c>
      <c r="D13" s="69">
        <v>0.8</v>
      </c>
      <c r="E13" s="69">
        <v>0.8</v>
      </c>
      <c r="F13" s="69">
        <v>0.8</v>
      </c>
      <c r="G13" s="177"/>
    </row>
    <row r="14" spans="1:18" ht="15.6" customHeight="1" x14ac:dyDescent="0.25">
      <c r="A14" s="70" t="s">
        <v>76</v>
      </c>
      <c r="B14" s="71">
        <f>B11*B13+B12*(1-B13)</f>
        <v>7.8700000000000006E-2</v>
      </c>
      <c r="C14" s="71">
        <f>C11*C13+C12*(1-C13)</f>
        <v>8.1699999999999995E-2</v>
      </c>
      <c r="D14" s="71">
        <f t="shared" ref="D14:F14" si="2">D11*D13+D12*(1-D13)</f>
        <v>8.1699999999999995E-2</v>
      </c>
      <c r="E14" s="71">
        <f t="shared" si="2"/>
        <v>8.1699999999999995E-2</v>
      </c>
      <c r="F14" s="71">
        <f t="shared" si="2"/>
        <v>8.1699999999999995E-2</v>
      </c>
      <c r="G14" s="176"/>
    </row>
    <row r="15" spans="1:18" ht="15.6" customHeight="1" x14ac:dyDescent="0.25">
      <c r="A15" s="72" t="s">
        <v>128</v>
      </c>
      <c r="B15" s="73"/>
      <c r="C15" s="50"/>
      <c r="D15" s="50"/>
    </row>
    <row r="16" spans="1:18" ht="15.6" customHeight="1" x14ac:dyDescent="0.25">
      <c r="A16" s="74"/>
      <c r="B16" s="73"/>
      <c r="C16" s="50"/>
      <c r="D16" s="50"/>
      <c r="G16" s="179"/>
      <c r="H16" s="180"/>
      <c r="I16" s="181"/>
    </row>
    <row r="17" spans="1:25" s="75" customFormat="1" ht="15.6" customHeight="1" x14ac:dyDescent="0.25">
      <c r="B17" s="279" t="s">
        <v>119</v>
      </c>
      <c r="C17" s="279"/>
      <c r="D17" s="279"/>
      <c r="E17" s="279"/>
      <c r="F17" s="279"/>
      <c r="G17" s="178"/>
      <c r="H17" s="180"/>
      <c r="I17" s="181"/>
      <c r="J17" s="76"/>
      <c r="K17" s="76"/>
      <c r="L17" s="76"/>
      <c r="M17" s="77" t="s">
        <v>114</v>
      </c>
      <c r="N17" s="77"/>
      <c r="O17" s="77"/>
      <c r="P17" s="77"/>
      <c r="Q17" s="77"/>
      <c r="R17" s="77"/>
      <c r="S17" s="77"/>
      <c r="T17" s="77"/>
      <c r="U17" s="77"/>
      <c r="V17" s="77"/>
      <c r="W17" s="77"/>
      <c r="X17" s="77"/>
      <c r="Y17" s="77"/>
    </row>
    <row r="18" spans="1:25" ht="66" customHeight="1" x14ac:dyDescent="0.25">
      <c r="A18" s="157" t="s">
        <v>140</v>
      </c>
      <c r="B18" s="78" t="str">
        <f>B2</f>
        <v>Small</v>
      </c>
      <c r="C18" s="78" t="str">
        <f>C2</f>
        <v>Medium</v>
      </c>
      <c r="D18" s="78" t="str">
        <f>D2</f>
        <v>Large</v>
      </c>
      <c r="E18" s="78" t="str">
        <f>E2</f>
        <v>X-Large</v>
      </c>
      <c r="F18" s="78" t="str">
        <f>F2</f>
        <v>Artic</v>
      </c>
      <c r="G18" s="158" t="s">
        <v>141</v>
      </c>
      <c r="H18" s="79" t="s">
        <v>142</v>
      </c>
      <c r="I18" s="80" t="s">
        <v>77</v>
      </c>
      <c r="J18" s="81"/>
      <c r="K18" s="81" t="str">
        <f>B2</f>
        <v>Small</v>
      </c>
      <c r="L18" s="82" t="s">
        <v>77</v>
      </c>
      <c r="M18" s="81"/>
      <c r="N18" s="81" t="str">
        <f>C2</f>
        <v>Medium</v>
      </c>
      <c r="O18" s="82" t="s">
        <v>77</v>
      </c>
      <c r="P18" s="81"/>
      <c r="Q18" s="83" t="str">
        <f>D2</f>
        <v>Large</v>
      </c>
      <c r="R18" s="82" t="s">
        <v>77</v>
      </c>
      <c r="S18" s="81"/>
      <c r="T18" s="83" t="str">
        <f>E2</f>
        <v>X-Large</v>
      </c>
      <c r="U18" s="82" t="s">
        <v>77</v>
      </c>
      <c r="V18" s="81"/>
      <c r="W18" s="83" t="str">
        <f>F2</f>
        <v>Artic</v>
      </c>
    </row>
    <row r="19" spans="1:25" ht="15.6" customHeight="1" x14ac:dyDescent="0.25">
      <c r="A19" s="84">
        <v>0</v>
      </c>
      <c r="B19" s="85">
        <f>IF($A19&lt;=B$3,B$8,IF($A19&lt;=B$5,(B$8-(B$8-B$9)/($B$5-$B$3)*($A19-$B$3)),0))</f>
        <v>135263</v>
      </c>
      <c r="C19" s="85">
        <f t="shared" ref="C19:F44" si="3">IF($A19&lt;=C$3,C$8,IF($A19&lt;=C$5,(C$8-(C$8-C$9)/($F$5-$F$3)*($A19-C$3)),0))</f>
        <v>134000</v>
      </c>
      <c r="D19" s="85">
        <f t="shared" si="3"/>
        <v>154000</v>
      </c>
      <c r="E19" s="85">
        <f t="shared" si="3"/>
        <v>171000</v>
      </c>
      <c r="F19" s="85">
        <f t="shared" si="3"/>
        <v>196400</v>
      </c>
      <c r="G19" s="159">
        <v>4000</v>
      </c>
      <c r="H19" s="86">
        <v>0</v>
      </c>
      <c r="I19" s="87">
        <f>IF($B$5-$B$3-$A19&gt;0,$B$5-$B$3-$A19,0)</f>
        <v>10</v>
      </c>
      <c r="J19" s="40" t="str">
        <f>CONCATENATE(IF((I19)&lt;0,0,(I19))," payments of")</f>
        <v>10 payments of</v>
      </c>
      <c r="K19" s="185">
        <f>IF(H19&lt;Sml_Maximum_Age,(IF(I19&gt;0,PMT(B$14,I19,-B19,B$9),0)),0)</f>
        <v>18095.343845776079</v>
      </c>
      <c r="L19" s="87">
        <f t="shared" ref="L19:L44" si="4">IF(A19&gt;$C$4,0,IF(A19&lt;=$C$3,$C$5-$C$3,$C$5-$A19))</f>
        <v>15</v>
      </c>
      <c r="M19" s="40" t="str">
        <f t="shared" ref="M19:M28" si="5">CONCATENATE(IF((L19)&lt;0,0,(L19))," payments of")</f>
        <v>15 payments of</v>
      </c>
      <c r="N19" s="186">
        <f>IF(L19&gt;0,PMT(C$14,L19,-C19,C$9),0)+G19</f>
        <v>19709.002566859745</v>
      </c>
      <c r="O19" s="87">
        <f t="shared" ref="O19:O39" si="6">IF(A19&gt;$D$4,0,IF(A19&lt;=$D$3,$D$5-$D$3,$D$5-$A19))</f>
        <v>15</v>
      </c>
      <c r="P19" s="40" t="str">
        <f>CONCATENATE(IF((O19)&lt;0,0,(O19))," payments of")</f>
        <v>15 payments of</v>
      </c>
      <c r="Q19" s="186">
        <f>IF(O19&gt;0,PMT(D$14,O19,-D19,D$9),0)+G19</f>
        <v>22069.903722105508</v>
      </c>
      <c r="R19" s="87">
        <f t="shared" ref="R19" si="7">IF($A19&gt;$E$4,0,IF(A19&lt;=$E$3,$E$5-$E$3,$E$5-$A19))</f>
        <v>15</v>
      </c>
      <c r="S19" s="41" t="str">
        <f>CONCATENATE(IF((R19)&lt;0,0,(R19))," payments of")</f>
        <v>15 payments of</v>
      </c>
      <c r="T19" s="186">
        <f>IF(R19&gt;0,PMT(E$14,R19,-E19,E$9),0)+G19</f>
        <v>24076.669704064407</v>
      </c>
      <c r="U19" s="87">
        <f t="shared" ref="U19:U44" si="8">IF($A19&gt;$F$5,0,IF(A19&lt;=$F$3,$F$5-$F$3,$F$5-$A19))</f>
        <v>15</v>
      </c>
      <c r="V19" s="41" t="str">
        <f>CONCATENATE(IF((U19)&lt;0,0,(U19))," payments of")</f>
        <v>15 payments of</v>
      </c>
      <c r="W19" s="186">
        <f t="shared" ref="W19:W44" si="9">IF(H19&lt;MaximumAge_Artic,IF(U19&gt;0,PMT(F$14,U19,-F19,F$9),0),0)+G19</f>
        <v>26820.598766890504</v>
      </c>
    </row>
    <row r="20" spans="1:25" ht="15.6" customHeight="1" x14ac:dyDescent="0.25">
      <c r="A20" s="84">
        <f>A19+1</f>
        <v>1</v>
      </c>
      <c r="B20" s="85">
        <f>IF($A20&lt;=B$3,B$8,IF($A20&lt;=B$5,(B$8-(B$8-B$9)/($B$5-$B$3)*($A20-$B$3)),0))</f>
        <v>124536.7</v>
      </c>
      <c r="C20" s="85">
        <f t="shared" si="3"/>
        <v>134000</v>
      </c>
      <c r="D20" s="85">
        <f t="shared" si="3"/>
        <v>154000</v>
      </c>
      <c r="E20" s="85">
        <f t="shared" si="3"/>
        <v>171000</v>
      </c>
      <c r="F20" s="85">
        <f t="shared" si="3"/>
        <v>196400</v>
      </c>
      <c r="G20" s="159">
        <v>4000</v>
      </c>
      <c r="H20" s="86">
        <f>H19+1</f>
        <v>1</v>
      </c>
      <c r="I20" s="87">
        <f t="shared" ref="I20:I44" si="10">IF($B$5-$B$3-$A20&gt;0,$B$5-$B$3-$A20,0)</f>
        <v>9</v>
      </c>
      <c r="J20" s="40" t="str">
        <f>CONCATENATE(IF(($B$5-$B$3-$A20)&lt;0,0,($B$5-$B$3-$A20))," payments of")</f>
        <v>9 payments of</v>
      </c>
      <c r="K20" s="185">
        <f t="shared" ref="K20:K44" si="11">IF(H20&lt;Sml_Maximum_Age,(IF(I20&gt;0,PMT(B$14,I20,-B20,B$9),0)),0)</f>
        <v>17573.729624878546</v>
      </c>
      <c r="L20" s="87">
        <f t="shared" si="4"/>
        <v>15</v>
      </c>
      <c r="M20" s="40" t="str">
        <f t="shared" si="5"/>
        <v>15 payments of</v>
      </c>
      <c r="N20" s="186">
        <f t="shared" ref="N20:N44" si="12">IF(L20&gt;0,PMT(C$14,L20,-C20,C$9),0)+G20</f>
        <v>19709.002566859745</v>
      </c>
      <c r="O20" s="87">
        <f t="shared" si="6"/>
        <v>15</v>
      </c>
      <c r="P20" s="40" t="str">
        <f>CONCATENATE(IF((O20)&lt;0,0,(O20))," payments of")</f>
        <v>15 payments of</v>
      </c>
      <c r="Q20" s="186">
        <f t="shared" ref="Q20:Q44" si="13">IF(O20&gt;0,PMT(D$14,O20,-D20,D$9),0)+G20</f>
        <v>22069.903722105508</v>
      </c>
      <c r="R20" s="87">
        <f t="shared" ref="R20:R39" si="14">IF($A20&gt;$E$4,0,IF(A20&lt;=$E$3,$E$5-$E$3,$E$5-$A20))</f>
        <v>15</v>
      </c>
      <c r="S20" s="41" t="str">
        <f t="shared" ref="S20:S44" si="15">CONCATENATE(IF((R20)&lt;0,0,(R20))," payments of")</f>
        <v>15 payments of</v>
      </c>
      <c r="T20" s="186">
        <f t="shared" ref="T20:T44" si="16">IF(R20&gt;0,PMT(E$14,R20,-E20,E$9),0)+G20</f>
        <v>24076.669704064407</v>
      </c>
      <c r="U20" s="87">
        <f t="shared" si="8"/>
        <v>15</v>
      </c>
      <c r="V20" s="41" t="str">
        <f t="shared" ref="V20:V44" si="17">CONCATENATE(IF((U20)&lt;0,0,(U20))," payments of")</f>
        <v>15 payments of</v>
      </c>
      <c r="W20" s="186">
        <f t="shared" si="9"/>
        <v>26820.598766890504</v>
      </c>
    </row>
    <row r="21" spans="1:25" ht="15.6" customHeight="1" x14ac:dyDescent="0.25">
      <c r="A21" s="84">
        <f t="shared" ref="A21:A44" si="18">A20+1</f>
        <v>2</v>
      </c>
      <c r="B21" s="85">
        <f t="shared" ref="B21:B44" si="19">IF($A21&lt;=B$3,B$8,IF($A21&lt;=B$5,(B$8-(B$8-B$9)/($B$5-$B$3)*($A21-$B$3)),0))</f>
        <v>113810.4</v>
      </c>
      <c r="C21" s="85">
        <f t="shared" si="3"/>
        <v>134000</v>
      </c>
      <c r="D21" s="85">
        <f t="shared" si="3"/>
        <v>154000</v>
      </c>
      <c r="E21" s="85">
        <f t="shared" si="3"/>
        <v>171000</v>
      </c>
      <c r="F21" s="85">
        <f t="shared" si="3"/>
        <v>196400</v>
      </c>
      <c r="G21" s="159">
        <v>4000</v>
      </c>
      <c r="H21" s="86">
        <f t="shared" ref="H21:H44" si="20">H20+1</f>
        <v>2</v>
      </c>
      <c r="I21" s="87">
        <f t="shared" si="10"/>
        <v>8</v>
      </c>
      <c r="J21" s="40" t="str">
        <f t="shared" ref="J21:J44" si="21">CONCATENATE(IF(($B$5-$B$3-$A21)&lt;0,0,($B$5-$B$3-$A21))," payments of")</f>
        <v>8 payments of</v>
      </c>
      <c r="K21" s="185">
        <f t="shared" si="11"/>
        <v>17062.290937883779</v>
      </c>
      <c r="L21" s="87">
        <f t="shared" si="4"/>
        <v>15</v>
      </c>
      <c r="M21" s="40" t="str">
        <f t="shared" si="5"/>
        <v>15 payments of</v>
      </c>
      <c r="N21" s="186">
        <f t="shared" si="12"/>
        <v>19709.002566859745</v>
      </c>
      <c r="O21" s="87">
        <f t="shared" si="6"/>
        <v>15</v>
      </c>
      <c r="P21" s="40" t="str">
        <f t="shared" ref="P21:P44" si="22">CONCATENATE(IF((O21)&lt;0,0,(O21))," payments of")</f>
        <v>15 payments of</v>
      </c>
      <c r="Q21" s="186">
        <f t="shared" si="13"/>
        <v>22069.903722105508</v>
      </c>
      <c r="R21" s="87">
        <f t="shared" si="14"/>
        <v>15</v>
      </c>
      <c r="S21" s="41" t="str">
        <f t="shared" si="15"/>
        <v>15 payments of</v>
      </c>
      <c r="T21" s="186">
        <f t="shared" si="16"/>
        <v>24076.669704064407</v>
      </c>
      <c r="U21" s="87">
        <f t="shared" si="8"/>
        <v>15</v>
      </c>
      <c r="V21" s="41" t="str">
        <f t="shared" si="17"/>
        <v>15 payments of</v>
      </c>
      <c r="W21" s="186">
        <f t="shared" si="9"/>
        <v>26820.598766890504</v>
      </c>
    </row>
    <row r="22" spans="1:25" ht="15.6" customHeight="1" x14ac:dyDescent="0.25">
      <c r="A22" s="84">
        <f t="shared" si="18"/>
        <v>3</v>
      </c>
      <c r="B22" s="85">
        <f t="shared" si="19"/>
        <v>103084.1</v>
      </c>
      <c r="C22" s="85">
        <f t="shared" si="3"/>
        <v>134000</v>
      </c>
      <c r="D22" s="85">
        <f t="shared" si="3"/>
        <v>154000</v>
      </c>
      <c r="E22" s="85">
        <f t="shared" si="3"/>
        <v>171000</v>
      </c>
      <c r="F22" s="85">
        <f t="shared" si="3"/>
        <v>196400</v>
      </c>
      <c r="G22" s="159">
        <v>4000</v>
      </c>
      <c r="H22" s="86">
        <f t="shared" si="20"/>
        <v>3</v>
      </c>
      <c r="I22" s="87">
        <f t="shared" si="10"/>
        <v>7</v>
      </c>
      <c r="J22" s="40" t="str">
        <f t="shared" si="21"/>
        <v>7 payments of</v>
      </c>
      <c r="K22" s="185">
        <f t="shared" si="11"/>
        <v>16561.126737192702</v>
      </c>
      <c r="L22" s="87">
        <f t="shared" si="4"/>
        <v>15</v>
      </c>
      <c r="M22" s="40" t="str">
        <f t="shared" si="5"/>
        <v>15 payments of</v>
      </c>
      <c r="N22" s="186">
        <f t="shared" si="12"/>
        <v>19709.002566859745</v>
      </c>
      <c r="O22" s="87">
        <f t="shared" si="6"/>
        <v>15</v>
      </c>
      <c r="P22" s="40" t="str">
        <f t="shared" si="22"/>
        <v>15 payments of</v>
      </c>
      <c r="Q22" s="186">
        <f t="shared" si="13"/>
        <v>22069.903722105508</v>
      </c>
      <c r="R22" s="87">
        <f t="shared" si="14"/>
        <v>15</v>
      </c>
      <c r="S22" s="41" t="str">
        <f t="shared" si="15"/>
        <v>15 payments of</v>
      </c>
      <c r="T22" s="186">
        <f t="shared" si="16"/>
        <v>24076.669704064407</v>
      </c>
      <c r="U22" s="87">
        <f t="shared" si="8"/>
        <v>15</v>
      </c>
      <c r="V22" s="41" t="str">
        <f t="shared" si="17"/>
        <v>15 payments of</v>
      </c>
      <c r="W22" s="186">
        <f t="shared" si="9"/>
        <v>26820.598766890504</v>
      </c>
    </row>
    <row r="23" spans="1:25" ht="15.6" customHeight="1" x14ac:dyDescent="0.25">
      <c r="A23" s="84">
        <f t="shared" si="18"/>
        <v>4</v>
      </c>
      <c r="B23" s="85">
        <f t="shared" si="19"/>
        <v>92357.8</v>
      </c>
      <c r="C23" s="85">
        <f t="shared" si="3"/>
        <v>134000</v>
      </c>
      <c r="D23" s="85">
        <f t="shared" si="3"/>
        <v>154000</v>
      </c>
      <c r="E23" s="85">
        <f t="shared" si="3"/>
        <v>171000</v>
      </c>
      <c r="F23" s="85">
        <f t="shared" si="3"/>
        <v>196400</v>
      </c>
      <c r="G23" s="159">
        <v>4000</v>
      </c>
      <c r="H23" s="86">
        <f t="shared" si="20"/>
        <v>4</v>
      </c>
      <c r="I23" s="87">
        <f t="shared" si="10"/>
        <v>6</v>
      </c>
      <c r="J23" s="40" t="str">
        <f t="shared" si="21"/>
        <v>6 payments of</v>
      </c>
      <c r="K23" s="185">
        <f t="shared" si="11"/>
        <v>16070.325285581839</v>
      </c>
      <c r="L23" s="87">
        <f t="shared" si="4"/>
        <v>15</v>
      </c>
      <c r="M23" s="40" t="str">
        <f t="shared" si="5"/>
        <v>15 payments of</v>
      </c>
      <c r="N23" s="186">
        <f t="shared" si="12"/>
        <v>19709.002566859745</v>
      </c>
      <c r="O23" s="87">
        <f t="shared" si="6"/>
        <v>15</v>
      </c>
      <c r="P23" s="40" t="str">
        <f t="shared" si="22"/>
        <v>15 payments of</v>
      </c>
      <c r="Q23" s="186">
        <f t="shared" si="13"/>
        <v>22069.903722105508</v>
      </c>
      <c r="R23" s="87">
        <f t="shared" si="14"/>
        <v>15</v>
      </c>
      <c r="S23" s="41" t="str">
        <f t="shared" si="15"/>
        <v>15 payments of</v>
      </c>
      <c r="T23" s="186">
        <f t="shared" si="16"/>
        <v>24076.669704064407</v>
      </c>
      <c r="U23" s="87">
        <f t="shared" si="8"/>
        <v>15</v>
      </c>
      <c r="V23" s="41" t="str">
        <f t="shared" si="17"/>
        <v>15 payments of</v>
      </c>
      <c r="W23" s="186">
        <f t="shared" si="9"/>
        <v>26820.598766890504</v>
      </c>
    </row>
    <row r="24" spans="1:25" ht="15.6" customHeight="1" x14ac:dyDescent="0.25">
      <c r="A24" s="84">
        <f t="shared" si="18"/>
        <v>5</v>
      </c>
      <c r="B24" s="85">
        <f t="shared" si="19"/>
        <v>81631.5</v>
      </c>
      <c r="C24" s="85">
        <f t="shared" si="3"/>
        <v>134000</v>
      </c>
      <c r="D24" s="85">
        <f t="shared" si="3"/>
        <v>154000</v>
      </c>
      <c r="E24" s="85">
        <f t="shared" si="3"/>
        <v>171000</v>
      </c>
      <c r="F24" s="85">
        <f t="shared" si="3"/>
        <v>196400</v>
      </c>
      <c r="G24" s="159">
        <v>4000</v>
      </c>
      <c r="H24" s="86">
        <f t="shared" si="20"/>
        <v>5</v>
      </c>
      <c r="I24" s="87">
        <f t="shared" si="10"/>
        <v>5</v>
      </c>
      <c r="J24" s="40" t="str">
        <f t="shared" si="21"/>
        <v>5 payments of</v>
      </c>
      <c r="K24" s="185">
        <f t="shared" si="11"/>
        <v>15589.963807947048</v>
      </c>
      <c r="L24" s="87">
        <f t="shared" si="4"/>
        <v>15</v>
      </c>
      <c r="M24" s="40" t="str">
        <f t="shared" si="5"/>
        <v>15 payments of</v>
      </c>
      <c r="N24" s="186">
        <f t="shared" si="12"/>
        <v>19709.002566859745</v>
      </c>
      <c r="O24" s="87">
        <f t="shared" si="6"/>
        <v>15</v>
      </c>
      <c r="P24" s="40" t="str">
        <f t="shared" si="22"/>
        <v>15 payments of</v>
      </c>
      <c r="Q24" s="186">
        <f t="shared" si="13"/>
        <v>22069.903722105508</v>
      </c>
      <c r="R24" s="87">
        <f t="shared" si="14"/>
        <v>15</v>
      </c>
      <c r="S24" s="41" t="str">
        <f t="shared" si="15"/>
        <v>15 payments of</v>
      </c>
      <c r="T24" s="186">
        <f t="shared" si="16"/>
        <v>24076.669704064407</v>
      </c>
      <c r="U24" s="87">
        <f t="shared" si="8"/>
        <v>15</v>
      </c>
      <c r="V24" s="41" t="str">
        <f t="shared" si="17"/>
        <v>15 payments of</v>
      </c>
      <c r="W24" s="186">
        <f t="shared" si="9"/>
        <v>26820.598766890504</v>
      </c>
    </row>
    <row r="25" spans="1:25" ht="15.6" customHeight="1" x14ac:dyDescent="0.25">
      <c r="A25" s="84">
        <f t="shared" si="18"/>
        <v>6</v>
      </c>
      <c r="B25" s="85">
        <f t="shared" si="19"/>
        <v>70905.200000000012</v>
      </c>
      <c r="C25" s="85">
        <f t="shared" si="3"/>
        <v>134000</v>
      </c>
      <c r="D25" s="85">
        <f t="shared" si="3"/>
        <v>154000</v>
      </c>
      <c r="E25" s="85">
        <f t="shared" si="3"/>
        <v>171000</v>
      </c>
      <c r="F25" s="85">
        <f t="shared" si="3"/>
        <v>196400</v>
      </c>
      <c r="G25" s="159">
        <v>3600</v>
      </c>
      <c r="H25" s="86">
        <f t="shared" si="20"/>
        <v>6</v>
      </c>
      <c r="I25" s="87">
        <f t="shared" si="10"/>
        <v>4</v>
      </c>
      <c r="J25" s="40" t="str">
        <f t="shared" si="21"/>
        <v>4 payments of</v>
      </c>
      <c r="K25" s="185">
        <f t="shared" si="11"/>
        <v>15120.10818376474</v>
      </c>
      <c r="L25" s="87">
        <f t="shared" si="4"/>
        <v>15</v>
      </c>
      <c r="M25" s="40" t="str">
        <f t="shared" si="5"/>
        <v>15 payments of</v>
      </c>
      <c r="N25" s="186">
        <f t="shared" si="12"/>
        <v>19309.002566859745</v>
      </c>
      <c r="O25" s="87">
        <f t="shared" si="6"/>
        <v>15</v>
      </c>
      <c r="P25" s="40" t="str">
        <f t="shared" si="22"/>
        <v>15 payments of</v>
      </c>
      <c r="Q25" s="186">
        <f t="shared" si="13"/>
        <v>21669.903722105508</v>
      </c>
      <c r="R25" s="87">
        <f t="shared" si="14"/>
        <v>15</v>
      </c>
      <c r="S25" s="41" t="str">
        <f t="shared" si="15"/>
        <v>15 payments of</v>
      </c>
      <c r="T25" s="186">
        <f t="shared" si="16"/>
        <v>23676.669704064407</v>
      </c>
      <c r="U25" s="87">
        <f t="shared" si="8"/>
        <v>15</v>
      </c>
      <c r="V25" s="41" t="str">
        <f t="shared" si="17"/>
        <v>15 payments of</v>
      </c>
      <c r="W25" s="186">
        <f t="shared" si="9"/>
        <v>26420.598766890504</v>
      </c>
    </row>
    <row r="26" spans="1:25" ht="15.6" customHeight="1" x14ac:dyDescent="0.25">
      <c r="A26" s="84">
        <f t="shared" si="18"/>
        <v>7</v>
      </c>
      <c r="B26" s="85">
        <f t="shared" si="19"/>
        <v>60178.900000000009</v>
      </c>
      <c r="C26" s="85">
        <f t="shared" si="3"/>
        <v>134000</v>
      </c>
      <c r="D26" s="85">
        <f t="shared" si="3"/>
        <v>154000</v>
      </c>
      <c r="E26" s="85">
        <f t="shared" si="3"/>
        <v>171000</v>
      </c>
      <c r="F26" s="85">
        <f t="shared" si="3"/>
        <v>196400</v>
      </c>
      <c r="G26" s="159">
        <v>3200</v>
      </c>
      <c r="H26" s="86">
        <f t="shared" si="20"/>
        <v>7</v>
      </c>
      <c r="I26" s="87">
        <f t="shared" si="10"/>
        <v>3</v>
      </c>
      <c r="J26" s="40" t="str">
        <f t="shared" si="21"/>
        <v>3 payments of</v>
      </c>
      <c r="K26" s="185">
        <f t="shared" si="11"/>
        <v>14660.812682649919</v>
      </c>
      <c r="L26" s="87">
        <f t="shared" si="4"/>
        <v>15</v>
      </c>
      <c r="M26" s="40" t="str">
        <f t="shared" si="5"/>
        <v>15 payments of</v>
      </c>
      <c r="N26" s="186">
        <f t="shared" si="12"/>
        <v>18909.002566859745</v>
      </c>
      <c r="O26" s="87">
        <f t="shared" si="6"/>
        <v>15</v>
      </c>
      <c r="P26" s="40" t="str">
        <f t="shared" si="22"/>
        <v>15 payments of</v>
      </c>
      <c r="Q26" s="186">
        <f t="shared" si="13"/>
        <v>21269.903722105508</v>
      </c>
      <c r="R26" s="87">
        <f t="shared" si="14"/>
        <v>15</v>
      </c>
      <c r="S26" s="41" t="str">
        <f t="shared" si="15"/>
        <v>15 payments of</v>
      </c>
      <c r="T26" s="186">
        <f t="shared" si="16"/>
        <v>23276.669704064407</v>
      </c>
      <c r="U26" s="87">
        <f t="shared" si="8"/>
        <v>15</v>
      </c>
      <c r="V26" s="41" t="str">
        <f t="shared" si="17"/>
        <v>15 payments of</v>
      </c>
      <c r="W26" s="186">
        <f t="shared" si="9"/>
        <v>26020.598766890504</v>
      </c>
    </row>
    <row r="27" spans="1:25" ht="15.6" customHeight="1" x14ac:dyDescent="0.25">
      <c r="A27" s="84">
        <f t="shared" si="18"/>
        <v>8</v>
      </c>
      <c r="B27" s="85">
        <f t="shared" si="19"/>
        <v>49452.600000000006</v>
      </c>
      <c r="C27" s="85">
        <f t="shared" si="3"/>
        <v>134000</v>
      </c>
      <c r="D27" s="85">
        <f t="shared" si="3"/>
        <v>154000</v>
      </c>
      <c r="E27" s="85">
        <f t="shared" si="3"/>
        <v>171000</v>
      </c>
      <c r="F27" s="85">
        <f t="shared" si="3"/>
        <v>196400</v>
      </c>
      <c r="G27" s="159">
        <v>2800</v>
      </c>
      <c r="H27" s="86">
        <f t="shared" si="20"/>
        <v>8</v>
      </c>
      <c r="I27" s="87">
        <f t="shared" si="10"/>
        <v>2</v>
      </c>
      <c r="J27" s="40" t="str">
        <f t="shared" si="21"/>
        <v>2 payments of</v>
      </c>
      <c r="K27" s="185">
        <f t="shared" si="11"/>
        <v>14212.119745078176</v>
      </c>
      <c r="L27" s="87">
        <f t="shared" si="4"/>
        <v>15</v>
      </c>
      <c r="M27" s="40" t="str">
        <f t="shared" si="5"/>
        <v>15 payments of</v>
      </c>
      <c r="N27" s="186">
        <f t="shared" si="12"/>
        <v>18509.002566859745</v>
      </c>
      <c r="O27" s="87">
        <f t="shared" si="6"/>
        <v>15</v>
      </c>
      <c r="P27" s="40" t="str">
        <f t="shared" si="22"/>
        <v>15 payments of</v>
      </c>
      <c r="Q27" s="186">
        <f t="shared" si="13"/>
        <v>20869.903722105508</v>
      </c>
      <c r="R27" s="87">
        <f t="shared" si="14"/>
        <v>15</v>
      </c>
      <c r="S27" s="41" t="str">
        <f t="shared" si="15"/>
        <v>15 payments of</v>
      </c>
      <c r="T27" s="186">
        <f t="shared" si="16"/>
        <v>22876.669704064407</v>
      </c>
      <c r="U27" s="87">
        <f t="shared" si="8"/>
        <v>15</v>
      </c>
      <c r="V27" s="41" t="str">
        <f t="shared" si="17"/>
        <v>15 payments of</v>
      </c>
      <c r="W27" s="186">
        <f t="shared" si="9"/>
        <v>25620.598766890504</v>
      </c>
    </row>
    <row r="28" spans="1:25" ht="15.6" customHeight="1" x14ac:dyDescent="0.25">
      <c r="A28" s="84">
        <f t="shared" si="18"/>
        <v>9</v>
      </c>
      <c r="B28" s="85">
        <f>IF($A28&lt;=B$3,B$8,IF($A28&lt;=B$5,(B$8-(B$8-B$9)/($B$5-$B$3)*($A28-$B$3)),0))</f>
        <v>38726.300000000003</v>
      </c>
      <c r="C28" s="85">
        <f t="shared" si="3"/>
        <v>134000</v>
      </c>
      <c r="D28" s="85">
        <f t="shared" si="3"/>
        <v>154000</v>
      </c>
      <c r="E28" s="85">
        <f t="shared" si="3"/>
        <v>171000</v>
      </c>
      <c r="F28" s="85">
        <f t="shared" si="3"/>
        <v>196400</v>
      </c>
      <c r="G28" s="159">
        <v>2400</v>
      </c>
      <c r="H28" s="86">
        <f t="shared" si="20"/>
        <v>9</v>
      </c>
      <c r="I28" s="87">
        <f t="shared" si="10"/>
        <v>1</v>
      </c>
      <c r="J28" s="40" t="str">
        <f t="shared" si="21"/>
        <v>1 payments of</v>
      </c>
      <c r="K28" s="185">
        <f t="shared" si="11"/>
        <v>13774.059810000002</v>
      </c>
      <c r="L28" s="87">
        <f t="shared" si="4"/>
        <v>15</v>
      </c>
      <c r="M28" s="40" t="str">
        <f t="shared" si="5"/>
        <v>15 payments of</v>
      </c>
      <c r="N28" s="186">
        <f t="shared" si="12"/>
        <v>18109.002566859745</v>
      </c>
      <c r="O28" s="87">
        <f t="shared" si="6"/>
        <v>15</v>
      </c>
      <c r="P28" s="40" t="str">
        <f t="shared" si="22"/>
        <v>15 payments of</v>
      </c>
      <c r="Q28" s="186">
        <f t="shared" si="13"/>
        <v>20469.903722105508</v>
      </c>
      <c r="R28" s="87">
        <f t="shared" si="14"/>
        <v>15</v>
      </c>
      <c r="S28" s="41" t="str">
        <f t="shared" si="15"/>
        <v>15 payments of</v>
      </c>
      <c r="T28" s="186">
        <f t="shared" si="16"/>
        <v>22476.669704064407</v>
      </c>
      <c r="U28" s="87">
        <f t="shared" si="8"/>
        <v>15</v>
      </c>
      <c r="V28" s="41" t="str">
        <f t="shared" si="17"/>
        <v>15 payments of</v>
      </c>
      <c r="W28" s="186">
        <f t="shared" si="9"/>
        <v>25220.598766890504</v>
      </c>
    </row>
    <row r="29" spans="1:25" ht="15.6" customHeight="1" x14ac:dyDescent="0.25">
      <c r="A29" s="84">
        <f t="shared" si="18"/>
        <v>10</v>
      </c>
      <c r="B29" s="85">
        <f t="shared" si="19"/>
        <v>28000</v>
      </c>
      <c r="C29" s="85">
        <f t="shared" si="3"/>
        <v>134000</v>
      </c>
      <c r="D29" s="85">
        <f t="shared" si="3"/>
        <v>154000</v>
      </c>
      <c r="E29" s="85">
        <f t="shared" si="3"/>
        <v>171000</v>
      </c>
      <c r="F29" s="85">
        <f t="shared" si="3"/>
        <v>196400</v>
      </c>
      <c r="G29" s="159">
        <v>2000</v>
      </c>
      <c r="H29" s="86">
        <f t="shared" si="20"/>
        <v>10</v>
      </c>
      <c r="I29" s="87">
        <f t="shared" si="10"/>
        <v>0</v>
      </c>
      <c r="J29" s="40" t="str">
        <f t="shared" si="21"/>
        <v>0 payments of</v>
      </c>
      <c r="K29" s="185">
        <f t="shared" si="11"/>
        <v>0</v>
      </c>
      <c r="L29" s="87">
        <f t="shared" si="4"/>
        <v>15</v>
      </c>
      <c r="M29" s="40" t="str">
        <f>CONCATENATE(IF((L29)&lt;0,0,(L29))," payments of")</f>
        <v>15 payments of</v>
      </c>
      <c r="N29" s="186">
        <f t="shared" si="12"/>
        <v>17709.002566859745</v>
      </c>
      <c r="O29" s="87">
        <f t="shared" si="6"/>
        <v>15</v>
      </c>
      <c r="P29" s="40" t="str">
        <f t="shared" si="22"/>
        <v>15 payments of</v>
      </c>
      <c r="Q29" s="186">
        <f t="shared" si="13"/>
        <v>20069.903722105508</v>
      </c>
      <c r="R29" s="87">
        <f t="shared" si="14"/>
        <v>15</v>
      </c>
      <c r="S29" s="41" t="str">
        <f t="shared" si="15"/>
        <v>15 payments of</v>
      </c>
      <c r="T29" s="186">
        <f t="shared" si="16"/>
        <v>22076.669704064407</v>
      </c>
      <c r="U29" s="87">
        <f t="shared" si="8"/>
        <v>15</v>
      </c>
      <c r="V29" s="41" t="str">
        <f t="shared" si="17"/>
        <v>15 payments of</v>
      </c>
      <c r="W29" s="186">
        <f t="shared" si="9"/>
        <v>24820.598766890504</v>
      </c>
    </row>
    <row r="30" spans="1:25" ht="15.6" customHeight="1" x14ac:dyDescent="0.25">
      <c r="A30" s="84">
        <f t="shared" si="18"/>
        <v>11</v>
      </c>
      <c r="B30" s="85">
        <f t="shared" si="19"/>
        <v>0</v>
      </c>
      <c r="C30" s="85">
        <f t="shared" si="3"/>
        <v>125266.66666666667</v>
      </c>
      <c r="D30" s="85">
        <f t="shared" si="3"/>
        <v>143933.33333333334</v>
      </c>
      <c r="E30" s="85">
        <f t="shared" si="3"/>
        <v>159800</v>
      </c>
      <c r="F30" s="85">
        <f t="shared" si="3"/>
        <v>183973.33333333334</v>
      </c>
      <c r="G30" s="159">
        <v>1600</v>
      </c>
      <c r="H30" s="86">
        <f>H29+1</f>
        <v>11</v>
      </c>
      <c r="I30" s="87">
        <f t="shared" si="10"/>
        <v>0</v>
      </c>
      <c r="J30" s="40" t="str">
        <f t="shared" si="21"/>
        <v>0 payments of</v>
      </c>
      <c r="K30" s="185">
        <f t="shared" si="11"/>
        <v>0</v>
      </c>
      <c r="L30" s="87">
        <f t="shared" si="4"/>
        <v>14</v>
      </c>
      <c r="M30" s="40" t="str">
        <f t="shared" ref="M30:M44" si="23">CONCATENATE(IF((L30)&lt;0,0,(L30))," payments of")</f>
        <v>14 payments of</v>
      </c>
      <c r="N30" s="186">
        <f t="shared" si="12"/>
        <v>16822.427564526522</v>
      </c>
      <c r="O30" s="87">
        <f t="shared" si="6"/>
        <v>14</v>
      </c>
      <c r="P30" s="40" t="str">
        <f t="shared" si="22"/>
        <v>14 payments of</v>
      </c>
      <c r="Q30" s="186">
        <f t="shared" si="13"/>
        <v>19109.042459874083</v>
      </c>
      <c r="R30" s="87">
        <f t="shared" si="14"/>
        <v>14</v>
      </c>
      <c r="S30" s="41" t="str">
        <f t="shared" si="15"/>
        <v>14 payments of</v>
      </c>
      <c r="T30" s="186">
        <f t="shared" si="16"/>
        <v>21052.665120919508</v>
      </c>
      <c r="U30" s="87">
        <f t="shared" si="8"/>
        <v>14</v>
      </c>
      <c r="V30" s="41" t="str">
        <f t="shared" si="17"/>
        <v>14 payments of</v>
      </c>
      <c r="W30" s="186">
        <f t="shared" si="9"/>
        <v>23728.250824639264</v>
      </c>
    </row>
    <row r="31" spans="1:25" ht="15.6" customHeight="1" x14ac:dyDescent="0.25">
      <c r="A31" s="84">
        <f t="shared" si="18"/>
        <v>12</v>
      </c>
      <c r="B31" s="85">
        <f t="shared" si="19"/>
        <v>0</v>
      </c>
      <c r="C31" s="85">
        <f t="shared" si="3"/>
        <v>116533.33333333333</v>
      </c>
      <c r="D31" s="85">
        <f t="shared" si="3"/>
        <v>133866.66666666666</v>
      </c>
      <c r="E31" s="85">
        <f t="shared" si="3"/>
        <v>148600</v>
      </c>
      <c r="F31" s="85">
        <f t="shared" si="3"/>
        <v>171546.66666666666</v>
      </c>
      <c r="G31" s="159">
        <v>1200</v>
      </c>
      <c r="H31" s="86">
        <f t="shared" si="20"/>
        <v>12</v>
      </c>
      <c r="I31" s="87">
        <f t="shared" si="10"/>
        <v>0</v>
      </c>
      <c r="J31" s="40" t="str">
        <f t="shared" si="21"/>
        <v>0 payments of</v>
      </c>
      <c r="K31" s="185">
        <f t="shared" si="11"/>
        <v>0</v>
      </c>
      <c r="L31" s="87">
        <f t="shared" si="4"/>
        <v>13</v>
      </c>
      <c r="M31" s="40" t="str">
        <f t="shared" si="23"/>
        <v>13 payments of</v>
      </c>
      <c r="N31" s="186">
        <f t="shared" si="12"/>
        <v>15944.139032755154</v>
      </c>
      <c r="O31" s="87">
        <f t="shared" si="6"/>
        <v>13</v>
      </c>
      <c r="P31" s="40" t="str">
        <f t="shared" si="22"/>
        <v>13 payments of</v>
      </c>
      <c r="Q31" s="186">
        <f t="shared" si="13"/>
        <v>18157.732778213958</v>
      </c>
      <c r="R31" s="87">
        <f t="shared" si="14"/>
        <v>13</v>
      </c>
      <c r="S31" s="41" t="str">
        <f t="shared" si="15"/>
        <v>13 payments of</v>
      </c>
      <c r="T31" s="186">
        <f t="shared" si="16"/>
        <v>20039.287461853939</v>
      </c>
      <c r="U31" s="87">
        <f t="shared" si="8"/>
        <v>13</v>
      </c>
      <c r="V31" s="41" t="str">
        <f t="shared" si="17"/>
        <v>13 payments of</v>
      </c>
      <c r="W31" s="186">
        <f t="shared" si="9"/>
        <v>22647.693707676037</v>
      </c>
    </row>
    <row r="32" spans="1:25" ht="15.6" customHeight="1" x14ac:dyDescent="0.25">
      <c r="A32" s="84">
        <f t="shared" si="18"/>
        <v>13</v>
      </c>
      <c r="B32" s="85">
        <f t="shared" si="19"/>
        <v>0</v>
      </c>
      <c r="C32" s="85">
        <f t="shared" si="3"/>
        <v>107800</v>
      </c>
      <c r="D32" s="85">
        <f t="shared" si="3"/>
        <v>123800</v>
      </c>
      <c r="E32" s="85">
        <f t="shared" si="3"/>
        <v>137400</v>
      </c>
      <c r="F32" s="85">
        <f t="shared" si="3"/>
        <v>159120</v>
      </c>
      <c r="G32" s="159">
        <v>800</v>
      </c>
      <c r="H32" s="86">
        <f t="shared" si="20"/>
        <v>13</v>
      </c>
      <c r="I32" s="87">
        <f t="shared" si="10"/>
        <v>0</v>
      </c>
      <c r="J32" s="40" t="str">
        <f t="shared" si="21"/>
        <v>0 payments of</v>
      </c>
      <c r="K32" s="185">
        <f t="shared" si="11"/>
        <v>0</v>
      </c>
      <c r="L32" s="87">
        <f t="shared" si="4"/>
        <v>12</v>
      </c>
      <c r="M32" s="40" t="str">
        <f t="shared" si="23"/>
        <v>12 payments of</v>
      </c>
      <c r="N32" s="186">
        <f t="shared" si="12"/>
        <v>15074.273157623486</v>
      </c>
      <c r="O32" s="87">
        <f t="shared" si="6"/>
        <v>12</v>
      </c>
      <c r="P32" s="40" t="str">
        <f t="shared" si="22"/>
        <v>12 payments of</v>
      </c>
      <c r="Q32" s="186">
        <f t="shared" si="13"/>
        <v>17216.131654970581</v>
      </c>
      <c r="R32" s="87">
        <f t="shared" si="14"/>
        <v>12</v>
      </c>
      <c r="S32" s="41" t="str">
        <f t="shared" si="15"/>
        <v>12 payments of</v>
      </c>
      <c r="T32" s="186">
        <f t="shared" si="16"/>
        <v>19036.711377715616</v>
      </c>
      <c r="U32" s="87">
        <f t="shared" si="8"/>
        <v>12</v>
      </c>
      <c r="V32" s="41" t="str">
        <f t="shared" si="17"/>
        <v>12 payments of</v>
      </c>
      <c r="W32" s="186">
        <f t="shared" si="9"/>
        <v>21579.121195274944</v>
      </c>
    </row>
    <row r="33" spans="1:23" ht="15.6" customHeight="1" x14ac:dyDescent="0.25">
      <c r="A33" s="84">
        <f t="shared" si="18"/>
        <v>14</v>
      </c>
      <c r="B33" s="85">
        <f t="shared" si="19"/>
        <v>0</v>
      </c>
      <c r="C33" s="85">
        <f t="shared" si="3"/>
        <v>99066.666666666657</v>
      </c>
      <c r="D33" s="85">
        <f t="shared" si="3"/>
        <v>113733.33333333334</v>
      </c>
      <c r="E33" s="85">
        <f t="shared" si="3"/>
        <v>126200</v>
      </c>
      <c r="F33" s="85">
        <f t="shared" si="3"/>
        <v>146693.33333333334</v>
      </c>
      <c r="G33" s="159">
        <v>400</v>
      </c>
      <c r="H33" s="86">
        <f t="shared" si="20"/>
        <v>14</v>
      </c>
      <c r="I33" s="87">
        <f t="shared" si="10"/>
        <v>0</v>
      </c>
      <c r="J33" s="40" t="str">
        <f t="shared" si="21"/>
        <v>0 payments of</v>
      </c>
      <c r="K33" s="185">
        <f t="shared" si="11"/>
        <v>0</v>
      </c>
      <c r="L33" s="87">
        <f t="shared" si="4"/>
        <v>11</v>
      </c>
      <c r="M33" s="40" t="str">
        <f t="shared" si="23"/>
        <v>11 payments of</v>
      </c>
      <c r="N33" s="186">
        <f t="shared" si="12"/>
        <v>14212.958414254434</v>
      </c>
      <c r="O33" s="87">
        <f t="shared" si="6"/>
        <v>11</v>
      </c>
      <c r="P33" s="40" t="str">
        <f t="shared" si="22"/>
        <v>11 payments of</v>
      </c>
      <c r="Q33" s="186">
        <f t="shared" si="13"/>
        <v>16284.387179789464</v>
      </c>
      <c r="R33" s="87">
        <f t="shared" si="14"/>
        <v>11</v>
      </c>
      <c r="S33" s="41" t="str">
        <f t="shared" si="15"/>
        <v>11 payments of</v>
      </c>
      <c r="T33" s="186">
        <f t="shared" si="16"/>
        <v>18045.101630494239</v>
      </c>
      <c r="U33" s="87">
        <f t="shared" si="8"/>
        <v>11</v>
      </c>
      <c r="V33" s="41" t="str">
        <f t="shared" si="17"/>
        <v>11 payments of</v>
      </c>
      <c r="W33" s="186">
        <f t="shared" si="9"/>
        <v>20522.716094786465</v>
      </c>
    </row>
    <row r="34" spans="1:23" s="73" customFormat="1" ht="15.6" customHeight="1" x14ac:dyDescent="0.25">
      <c r="A34" s="88">
        <f t="shared" si="18"/>
        <v>15</v>
      </c>
      <c r="B34" s="85">
        <f t="shared" si="19"/>
        <v>0</v>
      </c>
      <c r="C34" s="85">
        <f t="shared" si="3"/>
        <v>90333.333333333328</v>
      </c>
      <c r="D34" s="85">
        <f t="shared" si="3"/>
        <v>103666.66666666667</v>
      </c>
      <c r="E34" s="85">
        <f t="shared" si="3"/>
        <v>115000</v>
      </c>
      <c r="F34" s="85">
        <f t="shared" si="3"/>
        <v>134266.66666666669</v>
      </c>
      <c r="G34" s="73">
        <v>0</v>
      </c>
      <c r="H34" s="86">
        <f t="shared" si="20"/>
        <v>15</v>
      </c>
      <c r="I34" s="87">
        <f t="shared" si="10"/>
        <v>0</v>
      </c>
      <c r="J34" s="40" t="str">
        <f t="shared" si="21"/>
        <v>0 payments of</v>
      </c>
      <c r="K34" s="185">
        <f t="shared" si="11"/>
        <v>0</v>
      </c>
      <c r="L34" s="87">
        <f t="shared" si="4"/>
        <v>10</v>
      </c>
      <c r="M34" s="40" t="str">
        <f t="shared" si="23"/>
        <v>10 payments of</v>
      </c>
      <c r="N34" s="186">
        <f t="shared" si="12"/>
        <v>13360.315061374462</v>
      </c>
      <c r="O34" s="87">
        <f t="shared" si="6"/>
        <v>10</v>
      </c>
      <c r="P34" s="40" t="str">
        <f t="shared" si="22"/>
        <v>10 payments of</v>
      </c>
      <c r="Q34" s="186">
        <f t="shared" si="13"/>
        <v>15362.637971507969</v>
      </c>
      <c r="R34" s="87">
        <f t="shared" si="14"/>
        <v>10</v>
      </c>
      <c r="S34" s="41" t="str">
        <f t="shared" si="15"/>
        <v>10 payments of</v>
      </c>
      <c r="T34" s="186">
        <f t="shared" si="16"/>
        <v>17064.612445121445</v>
      </c>
      <c r="U34" s="87">
        <f t="shared" si="8"/>
        <v>10</v>
      </c>
      <c r="V34" s="41" t="str">
        <f t="shared" si="17"/>
        <v>10 payments of</v>
      </c>
      <c r="W34" s="186">
        <f t="shared" si="9"/>
        <v>19478.649522444273</v>
      </c>
    </row>
    <row r="35" spans="1:23" ht="15.6" customHeight="1" x14ac:dyDescent="0.25">
      <c r="A35" s="84">
        <f t="shared" si="18"/>
        <v>16</v>
      </c>
      <c r="B35" s="85">
        <f t="shared" si="19"/>
        <v>0</v>
      </c>
      <c r="C35" s="85">
        <f t="shared" si="3"/>
        <v>81600</v>
      </c>
      <c r="D35" s="85">
        <f t="shared" si="3"/>
        <v>93600</v>
      </c>
      <c r="E35" s="85">
        <f t="shared" si="3"/>
        <v>103800</v>
      </c>
      <c r="F35" s="85">
        <f t="shared" si="3"/>
        <v>121840</v>
      </c>
      <c r="G35" s="73">
        <v>0</v>
      </c>
      <c r="H35" s="86">
        <f t="shared" si="20"/>
        <v>16</v>
      </c>
      <c r="I35" s="87">
        <f t="shared" si="10"/>
        <v>0</v>
      </c>
      <c r="J35" s="40" t="str">
        <f t="shared" si="21"/>
        <v>0 payments of</v>
      </c>
      <c r="K35" s="185">
        <f t="shared" si="11"/>
        <v>0</v>
      </c>
      <c r="L35" s="87">
        <f t="shared" si="4"/>
        <v>9</v>
      </c>
      <c r="M35" s="40" t="str">
        <f t="shared" si="23"/>
        <v>9 payments of</v>
      </c>
      <c r="N35" s="186">
        <f t="shared" si="12"/>
        <v>12916.454659866762</v>
      </c>
      <c r="O35" s="87">
        <f t="shared" si="6"/>
        <v>9</v>
      </c>
      <c r="P35" s="40" t="str">
        <f t="shared" si="22"/>
        <v>9 payments of</v>
      </c>
      <c r="Q35" s="186">
        <f t="shared" si="13"/>
        <v>14851.012623205201</v>
      </c>
      <c r="R35" s="87">
        <f t="shared" si="14"/>
        <v>9</v>
      </c>
      <c r="S35" s="41" t="str">
        <f t="shared" si="15"/>
        <v>9 payments of</v>
      </c>
      <c r="T35" s="186">
        <f t="shared" si="16"/>
        <v>16495.386892042872</v>
      </c>
      <c r="U35" s="87">
        <f t="shared" si="8"/>
        <v>9</v>
      </c>
      <c r="V35" s="41" t="str">
        <f t="shared" si="17"/>
        <v>9 payments of</v>
      </c>
      <c r="W35" s="186">
        <f t="shared" si="9"/>
        <v>18847.080218314233</v>
      </c>
    </row>
    <row r="36" spans="1:23" ht="15.6" customHeight="1" x14ac:dyDescent="0.25">
      <c r="A36" s="84">
        <f t="shared" si="18"/>
        <v>17</v>
      </c>
      <c r="B36" s="85">
        <f t="shared" si="19"/>
        <v>0</v>
      </c>
      <c r="C36" s="85">
        <f t="shared" si="3"/>
        <v>72866.666666666657</v>
      </c>
      <c r="D36" s="85">
        <f t="shared" si="3"/>
        <v>83533.333333333343</v>
      </c>
      <c r="E36" s="85">
        <f t="shared" si="3"/>
        <v>92600</v>
      </c>
      <c r="F36" s="85">
        <f t="shared" si="3"/>
        <v>109413.33333333334</v>
      </c>
      <c r="G36" s="73">
        <v>0</v>
      </c>
      <c r="H36" s="86">
        <f t="shared" si="20"/>
        <v>17</v>
      </c>
      <c r="I36" s="87">
        <f t="shared" si="10"/>
        <v>0</v>
      </c>
      <c r="J36" s="40" t="str">
        <f t="shared" si="21"/>
        <v>0 payments of</v>
      </c>
      <c r="K36" s="185">
        <f t="shared" si="11"/>
        <v>0</v>
      </c>
      <c r="L36" s="87">
        <f t="shared" si="4"/>
        <v>8</v>
      </c>
      <c r="M36" s="40" t="str">
        <f t="shared" si="23"/>
        <v>8 payments of</v>
      </c>
      <c r="N36" s="186">
        <f t="shared" si="12"/>
        <v>12481.479618983079</v>
      </c>
      <c r="O36" s="87">
        <f t="shared" si="6"/>
        <v>8</v>
      </c>
      <c r="P36" s="40" t="str">
        <f t="shared" si="22"/>
        <v>8 payments of</v>
      </c>
      <c r="Q36" s="186">
        <f t="shared" si="13"/>
        <v>14349.629179133173</v>
      </c>
      <c r="R36" s="87">
        <f t="shared" si="14"/>
        <v>8</v>
      </c>
      <c r="S36" s="41" t="str">
        <f t="shared" si="15"/>
        <v>8 payments of</v>
      </c>
      <c r="T36" s="186">
        <f t="shared" si="16"/>
        <v>15937.556305260747</v>
      </c>
      <c r="U36" s="87">
        <f t="shared" si="8"/>
        <v>8</v>
      </c>
      <c r="V36" s="41" t="str">
        <f t="shared" si="17"/>
        <v>8 payments of</v>
      </c>
      <c r="W36" s="186">
        <f t="shared" si="9"/>
        <v>18228.153900598831</v>
      </c>
    </row>
    <row r="37" spans="1:23" ht="15.6" customHeight="1" x14ac:dyDescent="0.25">
      <c r="A37" s="84">
        <f t="shared" si="18"/>
        <v>18</v>
      </c>
      <c r="B37" s="85">
        <f t="shared" si="19"/>
        <v>0</v>
      </c>
      <c r="C37" s="85">
        <f t="shared" si="3"/>
        <v>64133.333333333328</v>
      </c>
      <c r="D37" s="85">
        <f t="shared" si="3"/>
        <v>73466.666666666672</v>
      </c>
      <c r="E37" s="85">
        <f t="shared" si="3"/>
        <v>81400</v>
      </c>
      <c r="F37" s="85">
        <f t="shared" si="3"/>
        <v>96986.666666666672</v>
      </c>
      <c r="G37" s="73">
        <v>0</v>
      </c>
      <c r="H37" s="86">
        <f t="shared" si="20"/>
        <v>18</v>
      </c>
      <c r="I37" s="87">
        <f t="shared" si="10"/>
        <v>0</v>
      </c>
      <c r="J37" s="40" t="str">
        <f t="shared" si="21"/>
        <v>0 payments of</v>
      </c>
      <c r="K37" s="185">
        <f t="shared" si="11"/>
        <v>0</v>
      </c>
      <c r="L37" s="87">
        <f t="shared" si="4"/>
        <v>7</v>
      </c>
      <c r="M37" s="40" t="str">
        <f t="shared" si="23"/>
        <v>7 payments of</v>
      </c>
      <c r="N37" s="186">
        <f t="shared" si="12"/>
        <v>12055.482773742764</v>
      </c>
      <c r="O37" s="87">
        <f t="shared" si="6"/>
        <v>7</v>
      </c>
      <c r="P37" s="40" t="str">
        <f t="shared" si="22"/>
        <v>7 payments of</v>
      </c>
      <c r="Q37" s="186">
        <f t="shared" si="13"/>
        <v>13858.594647596623</v>
      </c>
      <c r="R37" s="87">
        <f t="shared" si="14"/>
        <v>7</v>
      </c>
      <c r="S37" s="41" t="str">
        <f t="shared" si="15"/>
        <v>7 payments of</v>
      </c>
      <c r="T37" s="186">
        <f t="shared" si="16"/>
        <v>15391.239740372401</v>
      </c>
      <c r="U37" s="87">
        <f t="shared" si="8"/>
        <v>7</v>
      </c>
      <c r="V37" s="41" t="str">
        <f t="shared" si="17"/>
        <v>7 payments of</v>
      </c>
      <c r="W37" s="186">
        <f t="shared" si="9"/>
        <v>17622.002664317948</v>
      </c>
    </row>
    <row r="38" spans="1:23" ht="15.6" customHeight="1" x14ac:dyDescent="0.25">
      <c r="A38" s="84">
        <f t="shared" si="18"/>
        <v>19</v>
      </c>
      <c r="B38" s="85">
        <f t="shared" si="19"/>
        <v>0</v>
      </c>
      <c r="C38" s="85">
        <f t="shared" si="3"/>
        <v>55400</v>
      </c>
      <c r="D38" s="85">
        <f t="shared" si="3"/>
        <v>63400</v>
      </c>
      <c r="E38" s="85">
        <f t="shared" si="3"/>
        <v>70200</v>
      </c>
      <c r="F38" s="85">
        <f t="shared" si="3"/>
        <v>84560</v>
      </c>
      <c r="G38" s="73">
        <v>0</v>
      </c>
      <c r="H38" s="86">
        <f t="shared" si="20"/>
        <v>19</v>
      </c>
      <c r="I38" s="87">
        <f t="shared" si="10"/>
        <v>0</v>
      </c>
      <c r="J38" s="40" t="str">
        <f t="shared" si="21"/>
        <v>0 payments of</v>
      </c>
      <c r="K38" s="185">
        <f t="shared" si="11"/>
        <v>0</v>
      </c>
      <c r="L38" s="87">
        <f t="shared" si="4"/>
        <v>6</v>
      </c>
      <c r="M38" s="40" t="str">
        <f t="shared" si="23"/>
        <v>6 payments of</v>
      </c>
      <c r="N38" s="186">
        <f t="shared" si="12"/>
        <v>11638.546996868759</v>
      </c>
      <c r="O38" s="87">
        <f t="shared" si="6"/>
        <v>6</v>
      </c>
      <c r="P38" s="40" t="str">
        <f t="shared" si="22"/>
        <v>6 payments of</v>
      </c>
      <c r="Q38" s="186">
        <f t="shared" si="13"/>
        <v>13378.004553642617</v>
      </c>
      <c r="R38" s="87">
        <f t="shared" si="14"/>
        <v>6</v>
      </c>
      <c r="S38" s="41" t="str">
        <f t="shared" si="15"/>
        <v>6 payments of</v>
      </c>
      <c r="T38" s="186">
        <f>IF(R38&gt;0,PMT(E$14,R38,-E38,E$9),0)+G38</f>
        <v>14856.543476900395</v>
      </c>
      <c r="U38" s="87">
        <f t="shared" si="8"/>
        <v>6</v>
      </c>
      <c r="V38" s="41" t="str">
        <f t="shared" si="17"/>
        <v>6 payments of</v>
      </c>
      <c r="W38" s="186">
        <f t="shared" si="9"/>
        <v>17028.744429132345</v>
      </c>
    </row>
    <row r="39" spans="1:23" ht="15.6" customHeight="1" x14ac:dyDescent="0.25">
      <c r="A39" s="84">
        <f t="shared" si="18"/>
        <v>20</v>
      </c>
      <c r="B39" s="85">
        <f t="shared" si="19"/>
        <v>0</v>
      </c>
      <c r="C39" s="85">
        <f t="shared" si="3"/>
        <v>46666.666666666657</v>
      </c>
      <c r="D39" s="85">
        <f t="shared" si="3"/>
        <v>53333.333333333343</v>
      </c>
      <c r="E39" s="85">
        <f t="shared" si="3"/>
        <v>59000</v>
      </c>
      <c r="F39" s="85">
        <f t="shared" si="3"/>
        <v>72133.333333333343</v>
      </c>
      <c r="G39" s="73">
        <v>0</v>
      </c>
      <c r="H39" s="86">
        <f t="shared" si="20"/>
        <v>20</v>
      </c>
      <c r="I39" s="87">
        <f t="shared" si="10"/>
        <v>0</v>
      </c>
      <c r="J39" s="40" t="str">
        <f t="shared" si="21"/>
        <v>0 payments of</v>
      </c>
      <c r="K39" s="185">
        <f t="shared" si="11"/>
        <v>0</v>
      </c>
      <c r="L39" s="87">
        <f t="shared" si="4"/>
        <v>5</v>
      </c>
      <c r="M39" s="40" t="str">
        <f t="shared" si="23"/>
        <v>5 payments of</v>
      </c>
      <c r="N39" s="186">
        <f>IF(L39&gt;0,PMT(C$14,L39,-C39,C$9),0)+G39</f>
        <v>11230.744848389486</v>
      </c>
      <c r="O39" s="87">
        <f t="shared" si="6"/>
        <v>5</v>
      </c>
      <c r="P39" s="40" t="str">
        <f t="shared" si="22"/>
        <v>5 payments of</v>
      </c>
      <c r="Q39" s="186">
        <f>IF(O39&gt;0,PMT(D$14,O39,-D39,D$9),0)+G39</f>
        <v>12907.942535166514</v>
      </c>
      <c r="R39" s="87">
        <f t="shared" si="14"/>
        <v>5</v>
      </c>
      <c r="S39" s="41" t="str">
        <f t="shared" si="15"/>
        <v>5 payments of</v>
      </c>
      <c r="T39" s="186">
        <f>IF(R39&gt;0,PMT(E$14,R39,-E39,E$9),0)+G39</f>
        <v>14333.560568926976</v>
      </c>
      <c r="U39" s="87">
        <f t="shared" si="8"/>
        <v>5</v>
      </c>
      <c r="V39" s="41" t="str">
        <f t="shared" si="17"/>
        <v>5 payments of</v>
      </c>
      <c r="W39" s="186">
        <f t="shared" si="9"/>
        <v>16448.48244076184</v>
      </c>
    </row>
    <row r="40" spans="1:23" ht="15.6" customHeight="1" x14ac:dyDescent="0.25">
      <c r="A40" s="84">
        <f>A39+1</f>
        <v>21</v>
      </c>
      <c r="B40" s="85">
        <f t="shared" si="19"/>
        <v>0</v>
      </c>
      <c r="C40" s="238">
        <f t="shared" si="3"/>
        <v>37933.333333333328</v>
      </c>
      <c r="D40" s="238">
        <f t="shared" si="3"/>
        <v>43266.666666666672</v>
      </c>
      <c r="E40" s="238">
        <f t="shared" si="3"/>
        <v>47800</v>
      </c>
      <c r="F40" s="238">
        <f t="shared" si="3"/>
        <v>59706.666666666686</v>
      </c>
      <c r="G40" s="73">
        <v>0</v>
      </c>
      <c r="H40" s="86">
        <f t="shared" si="20"/>
        <v>21</v>
      </c>
      <c r="I40" s="206">
        <f t="shared" si="10"/>
        <v>0</v>
      </c>
      <c r="J40" s="207" t="str">
        <f t="shared" si="21"/>
        <v>0 payments of</v>
      </c>
      <c r="K40" s="185">
        <f t="shared" si="11"/>
        <v>0</v>
      </c>
      <c r="L40" s="240">
        <v>4</v>
      </c>
      <c r="M40" s="241" t="str">
        <f t="shared" si="23"/>
        <v>4 payments of</v>
      </c>
      <c r="N40" s="242">
        <f t="shared" si="12"/>
        <v>10832.138265774298</v>
      </c>
      <c r="O40" s="240">
        <v>4</v>
      </c>
      <c r="P40" s="241" t="str">
        <f t="shared" si="22"/>
        <v>4 payments of</v>
      </c>
      <c r="Q40" s="242">
        <f>IF(O40&gt;0,PMT(D$14,O40,-D40,D$9),0)+G40</f>
        <v>12448.479985739845</v>
      </c>
      <c r="R40" s="240">
        <v>4</v>
      </c>
      <c r="S40" s="243" t="str">
        <f t="shared" si="15"/>
        <v>4 payments of</v>
      </c>
      <c r="T40" s="242">
        <f t="shared" si="16"/>
        <v>13822.370447710553</v>
      </c>
      <c r="U40" s="87">
        <f t="shared" si="8"/>
        <v>4</v>
      </c>
      <c r="V40" s="41" t="str">
        <f t="shared" si="17"/>
        <v>4 payments of</v>
      </c>
      <c r="W40" s="186">
        <f t="shared" si="9"/>
        <v>15881.304830078858</v>
      </c>
    </row>
    <row r="41" spans="1:23" ht="15.6" customHeight="1" x14ac:dyDescent="0.25">
      <c r="A41" s="84">
        <f t="shared" si="18"/>
        <v>22</v>
      </c>
      <c r="B41" s="85">
        <f t="shared" si="19"/>
        <v>0</v>
      </c>
      <c r="C41" s="238">
        <f t="shared" si="3"/>
        <v>29200</v>
      </c>
      <c r="D41" s="238">
        <f t="shared" si="3"/>
        <v>33200</v>
      </c>
      <c r="E41" s="238">
        <f t="shared" si="3"/>
        <v>36600</v>
      </c>
      <c r="F41" s="238">
        <f t="shared" si="3"/>
        <v>47280</v>
      </c>
      <c r="G41" s="73">
        <v>0</v>
      </c>
      <c r="H41" s="86">
        <f t="shared" si="20"/>
        <v>22</v>
      </c>
      <c r="I41" s="206">
        <f t="shared" si="10"/>
        <v>0</v>
      </c>
      <c r="J41" s="207" t="str">
        <f t="shared" si="21"/>
        <v>0 payments of</v>
      </c>
      <c r="K41" s="185">
        <f t="shared" si="11"/>
        <v>0</v>
      </c>
      <c r="L41" s="240">
        <v>3</v>
      </c>
      <c r="M41" s="241" t="str">
        <f t="shared" si="23"/>
        <v>3 payments of</v>
      </c>
      <c r="N41" s="242">
        <f t="shared" si="12"/>
        <v>10442.778297171611</v>
      </c>
      <c r="O41" s="240">
        <v>3</v>
      </c>
      <c r="P41" s="241" t="str">
        <f t="shared" si="22"/>
        <v>3 payments of</v>
      </c>
      <c r="Q41" s="242">
        <f t="shared" si="13"/>
        <v>11999.675747121475</v>
      </c>
      <c r="R41" s="240">
        <v>3</v>
      </c>
      <c r="S41" s="243" t="str">
        <f t="shared" si="15"/>
        <v>3 payments of</v>
      </c>
      <c r="T41" s="242">
        <f t="shared" si="16"/>
        <v>13323.038579578861</v>
      </c>
      <c r="U41" s="87">
        <f t="shared" si="8"/>
        <v>3</v>
      </c>
      <c r="V41" s="41" t="str">
        <f t="shared" si="17"/>
        <v>3 payments of</v>
      </c>
      <c r="W41" s="186">
        <f t="shared" si="9"/>
        <v>15327.284233532737</v>
      </c>
    </row>
    <row r="42" spans="1:23" ht="15.6" customHeight="1" x14ac:dyDescent="0.25">
      <c r="A42" s="84">
        <f t="shared" si="18"/>
        <v>23</v>
      </c>
      <c r="B42" s="85">
        <f t="shared" si="19"/>
        <v>0</v>
      </c>
      <c r="C42" s="238">
        <f t="shared" si="3"/>
        <v>20466.666666666657</v>
      </c>
      <c r="D42" s="238">
        <f t="shared" si="3"/>
        <v>23133.333333333343</v>
      </c>
      <c r="E42" s="238">
        <f t="shared" si="3"/>
        <v>25400</v>
      </c>
      <c r="F42" s="238">
        <f t="shared" si="3"/>
        <v>34853.333333333343</v>
      </c>
      <c r="G42" s="73">
        <v>0</v>
      </c>
      <c r="H42" s="86">
        <f t="shared" si="20"/>
        <v>23</v>
      </c>
      <c r="I42" s="206">
        <f t="shared" si="10"/>
        <v>0</v>
      </c>
      <c r="J42" s="207" t="str">
        <f t="shared" si="21"/>
        <v>0 payments of</v>
      </c>
      <c r="K42" s="185">
        <f t="shared" si="11"/>
        <v>0</v>
      </c>
      <c r="L42" s="240">
        <v>2</v>
      </c>
      <c r="M42" s="241" t="str">
        <f t="shared" si="23"/>
        <v>2 payments of</v>
      </c>
      <c r="N42" s="242">
        <f t="shared" si="12"/>
        <v>10062.704879985906</v>
      </c>
      <c r="O42" s="240">
        <v>2</v>
      </c>
      <c r="P42" s="241" t="str">
        <f t="shared" si="22"/>
        <v>2 payments of</v>
      </c>
      <c r="Q42" s="242">
        <f t="shared" si="13"/>
        <v>11561.575854029568</v>
      </c>
      <c r="R42" s="240">
        <v>2</v>
      </c>
      <c r="S42" s="243" t="str">
        <f t="shared" si="15"/>
        <v>2 payments of</v>
      </c>
      <c r="T42" s="242">
        <f t="shared" si="16"/>
        <v>12835.616181966665</v>
      </c>
      <c r="U42" s="87">
        <f t="shared" si="8"/>
        <v>2</v>
      </c>
      <c r="V42" s="41" t="str">
        <f t="shared" si="17"/>
        <v>2 payments of</v>
      </c>
      <c r="W42" s="186">
        <f t="shared" si="9"/>
        <v>14786.477478086828</v>
      </c>
    </row>
    <row r="43" spans="1:23" ht="15.6" customHeight="1" x14ac:dyDescent="0.25">
      <c r="A43" s="84">
        <f t="shared" si="18"/>
        <v>24</v>
      </c>
      <c r="B43" s="85">
        <f t="shared" si="19"/>
        <v>0</v>
      </c>
      <c r="C43" s="238">
        <f t="shared" si="3"/>
        <v>11733.333333333328</v>
      </c>
      <c r="D43" s="238">
        <f t="shared" si="3"/>
        <v>13066.666666666686</v>
      </c>
      <c r="E43" s="238">
        <f t="shared" si="3"/>
        <v>14200</v>
      </c>
      <c r="F43" s="238">
        <f t="shared" si="3"/>
        <v>22426.666666666686</v>
      </c>
      <c r="G43" s="73">
        <v>0</v>
      </c>
      <c r="H43" s="86">
        <f t="shared" si="20"/>
        <v>24</v>
      </c>
      <c r="I43" s="206">
        <f t="shared" si="10"/>
        <v>0</v>
      </c>
      <c r="J43" s="207" t="str">
        <f t="shared" si="21"/>
        <v>0 payments of</v>
      </c>
      <c r="K43" s="185">
        <f t="shared" si="11"/>
        <v>0</v>
      </c>
      <c r="L43" s="240">
        <v>1</v>
      </c>
      <c r="M43" s="241" t="str">
        <f t="shared" si="23"/>
        <v>1 payments of</v>
      </c>
      <c r="N43" s="242">
        <f t="shared" si="12"/>
        <v>9691.9466666666631</v>
      </c>
      <c r="O43" s="240">
        <v>1</v>
      </c>
      <c r="P43" s="241" t="str">
        <f t="shared" si="22"/>
        <v>1 payments of</v>
      </c>
      <c r="Q43" s="242">
        <f t="shared" si="13"/>
        <v>11134.213333333357</v>
      </c>
      <c r="R43" s="240">
        <v>1</v>
      </c>
      <c r="S43" s="243" t="str">
        <f>CONCATENATE(IF((R43)&lt;0,0,(R43))," payments of")</f>
        <v>1 payments of</v>
      </c>
      <c r="T43" s="242">
        <f t="shared" si="16"/>
        <v>12360.140000000003</v>
      </c>
      <c r="U43" s="87">
        <f t="shared" si="8"/>
        <v>1</v>
      </c>
      <c r="V43" s="41" t="str">
        <f t="shared" si="17"/>
        <v>1 payments of</v>
      </c>
      <c r="W43" s="186">
        <f t="shared" si="9"/>
        <v>14258.925333333358</v>
      </c>
    </row>
    <row r="44" spans="1:23" ht="15.6" customHeight="1" x14ac:dyDescent="0.25">
      <c r="A44" s="89">
        <f t="shared" si="18"/>
        <v>25</v>
      </c>
      <c r="B44" s="85">
        <f t="shared" si="19"/>
        <v>0</v>
      </c>
      <c r="C44" s="238">
        <f t="shared" si="3"/>
        <v>2999.9999999999854</v>
      </c>
      <c r="D44" s="238">
        <f t="shared" si="3"/>
        <v>3000</v>
      </c>
      <c r="E44" s="238">
        <f t="shared" si="3"/>
        <v>3000</v>
      </c>
      <c r="F44" s="239">
        <f t="shared" si="3"/>
        <v>10000</v>
      </c>
      <c r="G44" s="73">
        <v>0</v>
      </c>
      <c r="H44" s="86">
        <f t="shared" si="20"/>
        <v>25</v>
      </c>
      <c r="I44" s="206">
        <f t="shared" si="10"/>
        <v>0</v>
      </c>
      <c r="J44" s="207" t="str">
        <f t="shared" si="21"/>
        <v>0 payments of</v>
      </c>
      <c r="K44" s="185">
        <f t="shared" si="11"/>
        <v>0</v>
      </c>
      <c r="L44" s="240">
        <f t="shared" si="4"/>
        <v>0</v>
      </c>
      <c r="M44" s="241" t="str">
        <f t="shared" si="23"/>
        <v>0 payments of</v>
      </c>
      <c r="N44" s="242">
        <f t="shared" si="12"/>
        <v>0</v>
      </c>
      <c r="O44" s="240"/>
      <c r="P44" s="241" t="str">
        <f t="shared" si="22"/>
        <v xml:space="preserve"> payments of</v>
      </c>
      <c r="Q44" s="242">
        <f t="shared" si="13"/>
        <v>0</v>
      </c>
      <c r="R44" s="240"/>
      <c r="S44" s="243" t="str">
        <f t="shared" si="15"/>
        <v xml:space="preserve"> payments of</v>
      </c>
      <c r="T44" s="242">
        <f t="shared" si="16"/>
        <v>0</v>
      </c>
      <c r="U44" s="87">
        <f t="shared" si="8"/>
        <v>0</v>
      </c>
      <c r="V44" s="90" t="str">
        <f t="shared" si="17"/>
        <v>0 payments of</v>
      </c>
      <c r="W44" s="186">
        <f t="shared" si="9"/>
        <v>0</v>
      </c>
    </row>
    <row r="45" spans="1:23" ht="15.6" customHeight="1" x14ac:dyDescent="0.25">
      <c r="A45" s="39"/>
      <c r="B45" s="42"/>
      <c r="C45" s="42"/>
      <c r="D45" s="42"/>
      <c r="E45" s="42"/>
      <c r="F45" s="42"/>
      <c r="G45" s="42"/>
      <c r="H45" s="91"/>
      <c r="I45" s="39"/>
      <c r="L45" s="92"/>
      <c r="M45" s="73"/>
      <c r="N45" s="73"/>
      <c r="O45" s="73"/>
      <c r="P45" s="73"/>
      <c r="Q45" s="73"/>
      <c r="R45" s="73"/>
    </row>
    <row r="46" spans="1:23" ht="15.6" customHeight="1" x14ac:dyDescent="0.25">
      <c r="A46" s="39"/>
      <c r="B46" s="42"/>
      <c r="C46" s="42"/>
      <c r="D46" s="42"/>
      <c r="E46" s="42"/>
      <c r="F46" s="42"/>
      <c r="G46" s="42"/>
      <c r="H46" s="91"/>
      <c r="I46" s="39"/>
      <c r="J46" s="93"/>
      <c r="K46" s="93"/>
      <c r="L46" s="93"/>
    </row>
    <row r="47" spans="1:23" ht="15.6" customHeight="1" thickBot="1" x14ac:dyDescent="0.3">
      <c r="A47" s="39"/>
      <c r="B47" s="42"/>
      <c r="C47" s="42"/>
      <c r="D47" s="42"/>
      <c r="E47" s="42"/>
      <c r="F47" s="42"/>
      <c r="G47" s="42"/>
    </row>
    <row r="48" spans="1:23" ht="15.6" customHeight="1" x14ac:dyDescent="0.25">
      <c r="A48" s="202" t="s">
        <v>162</v>
      </c>
      <c r="B48" s="191"/>
      <c r="C48" s="191"/>
      <c r="D48" s="191"/>
      <c r="E48" s="191"/>
      <c r="F48" s="191"/>
      <c r="G48" s="191"/>
      <c r="H48" s="192"/>
      <c r="I48" s="192"/>
      <c r="J48" s="193"/>
      <c r="K48" s="193"/>
      <c r="L48" s="193"/>
      <c r="M48" s="192"/>
      <c r="N48" s="192"/>
      <c r="O48" s="192"/>
      <c r="P48" s="192"/>
      <c r="Q48" s="192"/>
      <c r="R48" s="192"/>
      <c r="S48" s="192"/>
      <c r="T48" s="192"/>
      <c r="U48" s="192"/>
      <c r="V48" s="192"/>
      <c r="W48" s="194"/>
    </row>
    <row r="49" spans="1:23" ht="15.6" customHeight="1" x14ac:dyDescent="0.25">
      <c r="A49" s="195"/>
      <c r="B49" s="42"/>
      <c r="C49" s="42" t="s">
        <v>106</v>
      </c>
      <c r="D49" s="42" t="s">
        <v>91</v>
      </c>
      <c r="E49" s="42" t="s">
        <v>107</v>
      </c>
      <c r="F49" s="42"/>
      <c r="G49" s="42"/>
      <c r="H49" s="39"/>
      <c r="I49" s="39"/>
      <c r="J49" s="196"/>
      <c r="K49" s="196"/>
      <c r="L49" s="196"/>
      <c r="M49" s="39"/>
      <c r="N49" s="39" t="s">
        <v>106</v>
      </c>
      <c r="O49" s="39"/>
      <c r="P49" s="39"/>
      <c r="Q49" s="39" t="s">
        <v>91</v>
      </c>
      <c r="R49" s="39"/>
      <c r="S49" s="39"/>
      <c r="T49" s="39" t="s">
        <v>107</v>
      </c>
      <c r="U49" s="39"/>
      <c r="V49" s="39"/>
      <c r="W49" s="197"/>
    </row>
    <row r="50" spans="1:23" ht="15.6" customHeight="1" x14ac:dyDescent="0.25">
      <c r="A50" s="208" t="s">
        <v>157</v>
      </c>
      <c r="B50" s="209"/>
      <c r="C50" s="209">
        <f>IF($H50&lt;=C$3,C$8,IF($H50&lt;=C$5,(C$8-(C$8-C$9)/($C$5-$C$3)*($H50-C$3)),0))</f>
        <v>37933.333333333328</v>
      </c>
      <c r="D50" s="209">
        <f>IF($H50&lt;=D$3,D$8,IF($H50&lt;=D$5,(D$8-(D$8-D$9)/($D$5-$D$3)*($H50-D$3)),0))</f>
        <v>43266.666666666672</v>
      </c>
      <c r="E50" s="209">
        <f>IF($H50&lt;=E$3,E$8,IF($H50&lt;=E$5,(E$8-(E$8-E$9)/($E$5-$E$3)*($H50-E$3)),0))</f>
        <v>47800</v>
      </c>
      <c r="F50" s="209"/>
      <c r="G50" s="209">
        <v>0</v>
      </c>
      <c r="H50" s="210">
        <v>21</v>
      </c>
      <c r="I50" s="210">
        <v>0</v>
      </c>
      <c r="J50" s="211" t="s">
        <v>154</v>
      </c>
      <c r="K50" s="211"/>
      <c r="L50" s="211">
        <v>4</v>
      </c>
      <c r="M50" s="210"/>
      <c r="N50" s="212">
        <f>IF(L50&gt;0,PMT(C$14,L50,-C50,C$9),0)+G50</f>
        <v>10832.138265774298</v>
      </c>
      <c r="O50" s="211">
        <v>4</v>
      </c>
      <c r="P50" s="212"/>
      <c r="Q50" s="212">
        <f>IF(O50&gt;0,PMT(D$14,O50,-D50,D$9),0)+G50</f>
        <v>12448.479985739845</v>
      </c>
      <c r="R50" s="211">
        <v>4</v>
      </c>
      <c r="S50" s="212"/>
      <c r="T50" s="212">
        <f>IF(R50&gt;0,PMT(E$14,R50,-E50,E$9),0)+G50</f>
        <v>13822.370447710553</v>
      </c>
      <c r="U50" s="39"/>
      <c r="V50" s="39"/>
      <c r="W50" s="197"/>
    </row>
    <row r="51" spans="1:23" ht="15.6" customHeight="1" x14ac:dyDescent="0.25">
      <c r="A51" s="208" t="s">
        <v>158</v>
      </c>
      <c r="B51" s="209"/>
      <c r="C51" s="209">
        <f t="shared" ref="C51:C54" si="24">IF($H51&lt;=C$3,C$8,IF($H51&lt;=C$5,(C$8-(C$8-C$9)/($C$5-$C$3)*($H51-C$3)),0))</f>
        <v>29200</v>
      </c>
      <c r="D51" s="209">
        <f t="shared" ref="D51:D54" si="25">IF($H51&lt;=D$3,D$8,IF($H51&lt;=D$5,(D$8-(D$8-D$9)/($D$5-$D$3)*($H51-D$3)),0))</f>
        <v>33200</v>
      </c>
      <c r="E51" s="209">
        <f t="shared" ref="E51:E54" si="26">IF($H51&lt;=E$3,E$8,IF($H51&lt;=E$5,(E$8-(E$8-E$9)/($E$5-$E$3)*($H51-E$3)),0))</f>
        <v>36600</v>
      </c>
      <c r="F51" s="209"/>
      <c r="G51" s="209">
        <v>0</v>
      </c>
      <c r="H51" s="210">
        <v>22</v>
      </c>
      <c r="I51" s="210">
        <v>0</v>
      </c>
      <c r="J51" s="211" t="s">
        <v>154</v>
      </c>
      <c r="K51" s="211"/>
      <c r="L51" s="211">
        <v>3</v>
      </c>
      <c r="M51" s="210"/>
      <c r="N51" s="212">
        <f t="shared" ref="N51:N54" si="27">IF(L51&gt;0,PMT(C$14,L51,-C51,C$9),0)+G51</f>
        <v>10442.778297171611</v>
      </c>
      <c r="O51" s="211">
        <v>3</v>
      </c>
      <c r="P51" s="212"/>
      <c r="Q51" s="212">
        <f t="shared" ref="Q51:Q54" si="28">IF(O51&gt;0,PMT(D$14,O51,-D51,D$9),0)+G51</f>
        <v>11999.675747121475</v>
      </c>
      <c r="R51" s="211">
        <v>3</v>
      </c>
      <c r="S51" s="212"/>
      <c r="T51" s="212">
        <f t="shared" ref="T51:T54" si="29">IF(R51&gt;0,PMT(E$14,R51,-E51,E$9),0)+G51</f>
        <v>13323.038579578861</v>
      </c>
      <c r="U51" s="39"/>
      <c r="V51" s="39"/>
      <c r="W51" s="197"/>
    </row>
    <row r="52" spans="1:23" ht="15.6" customHeight="1" x14ac:dyDescent="0.25">
      <c r="A52" s="208" t="s">
        <v>159</v>
      </c>
      <c r="B52" s="209"/>
      <c r="C52" s="209">
        <f t="shared" si="24"/>
        <v>20466.666666666657</v>
      </c>
      <c r="D52" s="209">
        <f t="shared" si="25"/>
        <v>23133.333333333343</v>
      </c>
      <c r="E52" s="209">
        <f t="shared" si="26"/>
        <v>25400</v>
      </c>
      <c r="F52" s="209"/>
      <c r="G52" s="209">
        <v>0</v>
      </c>
      <c r="H52" s="210">
        <v>23</v>
      </c>
      <c r="I52" s="210"/>
      <c r="J52" s="211"/>
      <c r="K52" s="211"/>
      <c r="L52" s="211">
        <v>2</v>
      </c>
      <c r="M52" s="210"/>
      <c r="N52" s="212">
        <f t="shared" si="27"/>
        <v>10062.704879985906</v>
      </c>
      <c r="O52" s="211">
        <v>2</v>
      </c>
      <c r="P52" s="212"/>
      <c r="Q52" s="212">
        <f t="shared" si="28"/>
        <v>11561.575854029568</v>
      </c>
      <c r="R52" s="211">
        <v>2</v>
      </c>
      <c r="S52" s="212"/>
      <c r="T52" s="212">
        <f t="shared" si="29"/>
        <v>12835.616181966665</v>
      </c>
      <c r="U52" s="39"/>
      <c r="V52" s="39"/>
      <c r="W52" s="197"/>
    </row>
    <row r="53" spans="1:23" x14ac:dyDescent="0.25">
      <c r="A53" s="208" t="s">
        <v>160</v>
      </c>
      <c r="B53" s="210"/>
      <c r="C53" s="209">
        <f t="shared" si="24"/>
        <v>11733.333333333328</v>
      </c>
      <c r="D53" s="209">
        <f t="shared" si="25"/>
        <v>13066.666666666686</v>
      </c>
      <c r="E53" s="209">
        <f t="shared" si="26"/>
        <v>14200</v>
      </c>
      <c r="F53" s="210"/>
      <c r="G53" s="209">
        <v>0</v>
      </c>
      <c r="H53" s="210">
        <v>24</v>
      </c>
      <c r="I53" s="210"/>
      <c r="J53" s="211"/>
      <c r="K53" s="211"/>
      <c r="L53" s="211">
        <v>1</v>
      </c>
      <c r="M53" s="210"/>
      <c r="N53" s="212">
        <f t="shared" si="27"/>
        <v>9691.9466666666631</v>
      </c>
      <c r="O53" s="211">
        <v>1</v>
      </c>
      <c r="P53" s="212"/>
      <c r="Q53" s="212">
        <f t="shared" si="28"/>
        <v>11134.213333333357</v>
      </c>
      <c r="R53" s="211">
        <v>1</v>
      </c>
      <c r="S53" s="212"/>
      <c r="T53" s="212">
        <f t="shared" si="29"/>
        <v>12360.140000000003</v>
      </c>
      <c r="U53" s="39"/>
      <c r="V53" s="39"/>
      <c r="W53" s="197"/>
    </row>
    <row r="54" spans="1:23" x14ac:dyDescent="0.25">
      <c r="A54" s="208" t="s">
        <v>161</v>
      </c>
      <c r="B54" s="210"/>
      <c r="C54" s="209">
        <f t="shared" si="24"/>
        <v>2999.9999999999854</v>
      </c>
      <c r="D54" s="209">
        <f t="shared" si="25"/>
        <v>3000</v>
      </c>
      <c r="E54" s="209">
        <f t="shared" si="26"/>
        <v>3000</v>
      </c>
      <c r="F54" s="210"/>
      <c r="G54" s="209">
        <v>0</v>
      </c>
      <c r="H54" s="210">
        <v>25</v>
      </c>
      <c r="I54" s="210"/>
      <c r="J54" s="211"/>
      <c r="K54" s="211"/>
      <c r="L54" s="211">
        <v>0</v>
      </c>
      <c r="M54" s="210"/>
      <c r="N54" s="212">
        <f t="shared" si="27"/>
        <v>0</v>
      </c>
      <c r="O54" s="211">
        <v>0</v>
      </c>
      <c r="P54" s="212"/>
      <c r="Q54" s="212">
        <f t="shared" si="28"/>
        <v>0</v>
      </c>
      <c r="R54" s="211">
        <v>0</v>
      </c>
      <c r="S54" s="212"/>
      <c r="T54" s="212">
        <f t="shared" si="29"/>
        <v>0</v>
      </c>
      <c r="U54" s="39"/>
      <c r="V54" s="39"/>
      <c r="W54" s="197"/>
    </row>
    <row r="55" spans="1:23" ht="16.5" thickBot="1" x14ac:dyDescent="0.3">
      <c r="A55" s="198"/>
      <c r="B55" s="199"/>
      <c r="C55" s="199"/>
      <c r="D55" s="199"/>
      <c r="E55" s="199"/>
      <c r="F55" s="199"/>
      <c r="G55" s="199"/>
      <c r="H55" s="199"/>
      <c r="I55" s="199"/>
      <c r="J55" s="200"/>
      <c r="K55" s="200"/>
      <c r="L55" s="200"/>
      <c r="M55" s="199"/>
      <c r="N55" s="199"/>
      <c r="O55" s="199"/>
      <c r="P55" s="199"/>
      <c r="Q55" s="199"/>
      <c r="R55" s="199"/>
      <c r="S55" s="199"/>
      <c r="T55" s="199"/>
      <c r="U55" s="199"/>
      <c r="V55" s="199"/>
      <c r="W55" s="201"/>
    </row>
    <row r="63" spans="1:23" s="94" customFormat="1" ht="15.6" customHeight="1" x14ac:dyDescent="0.25">
      <c r="J63" s="95"/>
      <c r="K63" s="95"/>
      <c r="L63" s="95"/>
    </row>
    <row r="77" spans="8:12" ht="15.6" customHeight="1" x14ac:dyDescent="0.25">
      <c r="H77" s="91"/>
      <c r="I77" s="39"/>
      <c r="J77" s="93"/>
      <c r="K77" s="93"/>
      <c r="L77" s="93"/>
    </row>
    <row r="78" spans="8:12" ht="15.6" customHeight="1" x14ac:dyDescent="0.25">
      <c r="H78" s="91"/>
      <c r="I78" s="39"/>
      <c r="J78" s="93"/>
      <c r="K78" s="93"/>
      <c r="L78" s="93"/>
    </row>
    <row r="79" spans="8:12" ht="15.6" customHeight="1" x14ac:dyDescent="0.25">
      <c r="H79" s="91"/>
      <c r="I79" s="39"/>
      <c r="J79" s="93"/>
      <c r="K79" s="93"/>
      <c r="L79" s="93"/>
    </row>
    <row r="80" spans="8:12" ht="15.6" customHeight="1" x14ac:dyDescent="0.25">
      <c r="H80" s="91"/>
      <c r="I80" s="39"/>
      <c r="J80" s="93"/>
      <c r="K80" s="93"/>
      <c r="L80" s="93"/>
    </row>
    <row r="81" spans="8:12" ht="15.6" customHeight="1" x14ac:dyDescent="0.25">
      <c r="H81" s="91"/>
      <c r="I81" s="39"/>
      <c r="J81" s="93"/>
      <c r="K81" s="93"/>
      <c r="L81" s="93"/>
    </row>
    <row r="82" spans="8:12" ht="15.6" customHeight="1" x14ac:dyDescent="0.25">
      <c r="H82" s="91"/>
      <c r="I82" s="39"/>
      <c r="J82" s="93"/>
      <c r="K82" s="93"/>
      <c r="L82" s="93"/>
    </row>
    <row r="83" spans="8:12" ht="15.6" customHeight="1" x14ac:dyDescent="0.25">
      <c r="H83" s="91"/>
      <c r="I83" s="39"/>
      <c r="J83" s="93"/>
      <c r="K83" s="93"/>
      <c r="L83" s="93"/>
    </row>
    <row r="84" spans="8:12" ht="15.6" customHeight="1" x14ac:dyDescent="0.25">
      <c r="H84" s="91"/>
      <c r="I84" s="39"/>
      <c r="J84" s="93"/>
      <c r="K84" s="93"/>
      <c r="L84" s="93"/>
    </row>
  </sheetData>
  <sheetProtection algorithmName="SHA-512" hashValue="1oyWx471jRWLZUHrUPlWiGJJSKj9Bb3DBJJzfWiimfTW5jIj2H1axNlSCiX9WJ5I76/sPR+ti6roGjF/n5YJXQ==" saltValue="UQXozfXk5R3c8EmdCMLs/Q==" spinCount="100000" sheet="1" objects="1" scenarios="1" selectLockedCells="1"/>
  <mergeCells count="1">
    <mergeCell ref="B17:F17"/>
  </mergeCells>
  <pageMargins left="0.7" right="0.7" top="0.75" bottom="0.75" header="0.3" footer="0.3"/>
  <pageSetup paperSize="9" orientation="portrait" r:id="rId1"/>
  <customProperties>
    <customPr name="SSC_SHEET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T77"/>
  <sheetViews>
    <sheetView workbookViewId="0">
      <selection activeCell="K20" sqref="K20"/>
    </sheetView>
  </sheetViews>
  <sheetFormatPr defaultRowHeight="15" x14ac:dyDescent="0.25"/>
  <cols>
    <col min="2" max="2" width="46.5703125" customWidth="1"/>
    <col min="3" max="3" width="23.85546875" customWidth="1"/>
    <col min="4" max="4" width="19.28515625" customWidth="1"/>
    <col min="5" max="5" width="17.28515625" customWidth="1"/>
    <col min="6" max="6" width="11.5703125" bestFit="1" customWidth="1"/>
  </cols>
  <sheetData>
    <row r="1" spans="2:254" s="1" customFormat="1" x14ac:dyDescent="0.25">
      <c r="B1" s="14"/>
      <c r="C1" s="1" t="s">
        <v>9</v>
      </c>
      <c r="D1" s="15" t="s">
        <v>10</v>
      </c>
      <c r="J1"/>
      <c r="K1"/>
      <c r="L1"/>
      <c r="M1"/>
      <c r="N1"/>
      <c r="O1"/>
      <c r="P1"/>
      <c r="IT1"/>
    </row>
    <row r="2" spans="2:254" s="1" customFormat="1" x14ac:dyDescent="0.25">
      <c r="B2" s="14" t="s">
        <v>11</v>
      </c>
      <c r="D2" s="2"/>
      <c r="E2" s="4"/>
      <c r="J2"/>
      <c r="K2"/>
      <c r="L2"/>
      <c r="M2"/>
      <c r="N2"/>
      <c r="O2"/>
      <c r="P2"/>
      <c r="IT2"/>
    </row>
    <row r="3" spans="2:254" s="1" customFormat="1" x14ac:dyDescent="0.25">
      <c r="B3" s="1" t="s">
        <v>12</v>
      </c>
      <c r="D3" s="165">
        <v>762.3</v>
      </c>
      <c r="E3" s="4">
        <v>630.29999999999995</v>
      </c>
      <c r="J3"/>
      <c r="K3"/>
      <c r="L3"/>
      <c r="M3"/>
      <c r="N3"/>
      <c r="O3"/>
      <c r="P3"/>
      <c r="IT3"/>
    </row>
    <row r="4" spans="2:254" s="1" customFormat="1" x14ac:dyDescent="0.25">
      <c r="B4" s="1" t="s">
        <v>13</v>
      </c>
      <c r="D4" s="165">
        <v>780</v>
      </c>
      <c r="J4"/>
      <c r="K4"/>
      <c r="L4"/>
      <c r="M4"/>
      <c r="N4"/>
      <c r="O4"/>
      <c r="P4"/>
      <c r="IT4"/>
    </row>
    <row r="5" spans="2:254" s="1" customFormat="1" x14ac:dyDescent="0.25">
      <c r="B5" s="1" t="s">
        <v>14</v>
      </c>
      <c r="C5" s="131">
        <v>1.4999999999999999E-2</v>
      </c>
      <c r="D5" s="165">
        <v>1046</v>
      </c>
      <c r="E5" s="4">
        <v>200000</v>
      </c>
      <c r="J5"/>
      <c r="K5"/>
      <c r="L5"/>
      <c r="M5"/>
      <c r="N5"/>
      <c r="O5"/>
      <c r="P5"/>
      <c r="IT5"/>
    </row>
    <row r="6" spans="2:254" s="1" customFormat="1" x14ac:dyDescent="0.25">
      <c r="B6" s="4" t="s">
        <v>15</v>
      </c>
      <c r="C6" s="1">
        <v>15</v>
      </c>
      <c r="D6" s="165">
        <v>207</v>
      </c>
      <c r="E6" s="4"/>
      <c r="J6"/>
      <c r="K6"/>
      <c r="L6"/>
      <c r="M6"/>
      <c r="N6"/>
      <c r="O6"/>
      <c r="P6"/>
      <c r="IT6"/>
    </row>
    <row r="7" spans="2:254" s="1" customFormat="1" x14ac:dyDescent="0.25">
      <c r="B7" s="4" t="s">
        <v>109</v>
      </c>
      <c r="D7" s="165">
        <v>191.7</v>
      </c>
      <c r="E7" s="1">
        <v>127.8</v>
      </c>
      <c r="J7"/>
      <c r="K7"/>
      <c r="L7"/>
      <c r="M7"/>
      <c r="N7"/>
      <c r="O7"/>
      <c r="P7"/>
      <c r="IT7"/>
    </row>
    <row r="8" spans="2:254" s="1" customFormat="1" x14ac:dyDescent="0.25">
      <c r="B8" s="9" t="s">
        <v>16</v>
      </c>
      <c r="D8" s="165"/>
      <c r="E8" s="18"/>
      <c r="J8"/>
      <c r="K8"/>
      <c r="L8"/>
      <c r="M8"/>
      <c r="N8"/>
      <c r="O8"/>
      <c r="P8"/>
      <c r="IT8"/>
    </row>
    <row r="9" spans="2:254" s="1" customFormat="1" x14ac:dyDescent="0.25">
      <c r="B9" s="4" t="s">
        <v>17</v>
      </c>
      <c r="D9" s="165">
        <v>265</v>
      </c>
      <c r="E9" s="4"/>
      <c r="J9"/>
      <c r="K9"/>
      <c r="L9"/>
      <c r="M9"/>
      <c r="N9"/>
      <c r="O9"/>
      <c r="P9"/>
      <c r="IT9"/>
    </row>
    <row r="10" spans="2:254" s="1" customFormat="1" x14ac:dyDescent="0.25">
      <c r="B10" s="98" t="s">
        <v>18</v>
      </c>
      <c r="C10" s="46"/>
      <c r="D10" s="166">
        <v>300</v>
      </c>
      <c r="J10"/>
      <c r="K10"/>
      <c r="L10"/>
      <c r="M10"/>
      <c r="N10"/>
      <c r="O10"/>
      <c r="P10"/>
      <c r="IT10"/>
    </row>
    <row r="11" spans="2:254" s="1" customFormat="1" x14ac:dyDescent="0.25">
      <c r="B11" s="98" t="s">
        <v>19</v>
      </c>
      <c r="C11" s="46"/>
      <c r="D11" s="166"/>
      <c r="E11" s="19"/>
      <c r="J11"/>
      <c r="K11"/>
      <c r="L11"/>
      <c r="M11"/>
      <c r="N11"/>
      <c r="O11"/>
      <c r="P11"/>
      <c r="IT11"/>
    </row>
    <row r="12" spans="2:254" s="1" customFormat="1" x14ac:dyDescent="0.25">
      <c r="B12" s="45" t="s">
        <v>20</v>
      </c>
      <c r="C12" s="46"/>
      <c r="D12" s="166">
        <f>IF('Contract Amount Calc - School'!C2="Special Needs Bus Service",1100,300)</f>
        <v>300</v>
      </c>
      <c r="J12"/>
      <c r="K12"/>
      <c r="L12"/>
      <c r="M12"/>
      <c r="N12"/>
      <c r="O12"/>
      <c r="P12"/>
      <c r="IT12"/>
    </row>
    <row r="13" spans="2:254" s="1" customFormat="1" x14ac:dyDescent="0.25">
      <c r="B13" s="98" t="s">
        <v>21</v>
      </c>
      <c r="C13" s="46"/>
      <c r="D13" s="167"/>
      <c r="J13" s="96"/>
      <c r="K13"/>
      <c r="L13"/>
      <c r="M13"/>
      <c r="N13"/>
      <c r="O13"/>
      <c r="P13"/>
      <c r="IT13"/>
    </row>
    <row r="14" spans="2:254" s="1" customFormat="1" x14ac:dyDescent="0.25">
      <c r="B14" s="45" t="s">
        <v>22</v>
      </c>
      <c r="C14" s="46">
        <v>40</v>
      </c>
      <c r="D14" s="167"/>
      <c r="E14" s="4"/>
      <c r="J14"/>
      <c r="K14"/>
      <c r="L14"/>
      <c r="M14"/>
      <c r="N14"/>
      <c r="O14"/>
      <c r="P14"/>
      <c r="IT14"/>
    </row>
    <row r="15" spans="2:254" s="1" customFormat="1" x14ac:dyDescent="0.25">
      <c r="B15" s="45" t="s">
        <v>23</v>
      </c>
      <c r="C15" s="108">
        <f>IF('Contract Amount Calc - School'!C2="Special Needs Bus Service",4,2)</f>
        <v>2</v>
      </c>
      <c r="D15" s="167"/>
      <c r="E15" s="3"/>
      <c r="H15" s="3"/>
      <c r="J15"/>
      <c r="K15"/>
      <c r="L15"/>
      <c r="M15"/>
      <c r="N15"/>
      <c r="O15"/>
      <c r="P15"/>
      <c r="IT15"/>
    </row>
    <row r="16" spans="2:254" s="1" customFormat="1" x14ac:dyDescent="0.25">
      <c r="B16" s="45" t="s">
        <v>24</v>
      </c>
      <c r="C16" s="109">
        <f>C15*C14</f>
        <v>80</v>
      </c>
      <c r="D16" s="166">
        <f>C16*E76</f>
        <v>2556.1471999999999</v>
      </c>
      <c r="E16" s="4" t="s">
        <v>58</v>
      </c>
      <c r="J16"/>
      <c r="K16" s="96"/>
      <c r="L16" s="96"/>
      <c r="M16" s="96"/>
      <c r="N16" s="96"/>
      <c r="O16" s="96"/>
      <c r="P16"/>
      <c r="IT16"/>
    </row>
    <row r="17" spans="2:254" s="1" customFormat="1" x14ac:dyDescent="0.25">
      <c r="B17" s="45" t="s">
        <v>25</v>
      </c>
      <c r="C17" s="46"/>
      <c r="D17" s="166">
        <v>35.15</v>
      </c>
      <c r="E17" s="4"/>
      <c r="J17"/>
      <c r="K17"/>
      <c r="L17"/>
      <c r="M17"/>
      <c r="N17"/>
      <c r="O17"/>
      <c r="P17" s="96"/>
      <c r="IT17"/>
    </row>
    <row r="18" spans="2:254" s="1" customFormat="1" x14ac:dyDescent="0.25">
      <c r="B18" t="s">
        <v>26</v>
      </c>
      <c r="C18"/>
      <c r="D18" s="165">
        <f>IF('Contract Amount Calc - School'!C6="Yes",2180,695)</f>
        <v>695</v>
      </c>
      <c r="E18" s="4"/>
      <c r="J18"/>
      <c r="K18"/>
      <c r="L18"/>
      <c r="M18"/>
      <c r="N18"/>
      <c r="O18"/>
      <c r="P18"/>
    </row>
    <row r="19" spans="2:254" s="1" customFormat="1" x14ac:dyDescent="0.25">
      <c r="B19" s="98" t="s">
        <v>57</v>
      </c>
      <c r="C19" s="99"/>
      <c r="D19" s="167"/>
      <c r="E19" s="4"/>
      <c r="J19"/>
      <c r="K19"/>
      <c r="L19"/>
      <c r="M19"/>
      <c r="N19"/>
      <c r="O19"/>
      <c r="P19"/>
    </row>
    <row r="20" spans="2:254" s="1" customFormat="1" x14ac:dyDescent="0.25">
      <c r="B20" s="100" t="s">
        <v>27</v>
      </c>
      <c r="C20" s="101">
        <v>10</v>
      </c>
      <c r="D20" s="167"/>
      <c r="E20" s="4"/>
      <c r="F20" s="19"/>
      <c r="G20" s="19"/>
      <c r="J20"/>
      <c r="K20"/>
      <c r="L20"/>
      <c r="M20"/>
      <c r="N20"/>
      <c r="O20"/>
      <c r="P20"/>
    </row>
    <row r="21" spans="2:254" s="1" customFormat="1" x14ac:dyDescent="0.25">
      <c r="B21" s="100" t="s">
        <v>56</v>
      </c>
      <c r="C21" s="102"/>
      <c r="D21" s="166">
        <f>(C20*E76)</f>
        <v>319.51839999999999</v>
      </c>
      <c r="E21" s="4"/>
      <c r="J21"/>
      <c r="K21"/>
      <c r="L21"/>
      <c r="M21"/>
      <c r="N21"/>
      <c r="O21"/>
      <c r="P21"/>
      <c r="IT21"/>
    </row>
    <row r="22" spans="2:254" s="1" customFormat="1" x14ac:dyDescent="0.25">
      <c r="B22" s="46"/>
      <c r="C22" s="46"/>
      <c r="D22" s="166"/>
      <c r="E22" s="4"/>
      <c r="J22" s="97"/>
      <c r="K22"/>
      <c r="L22"/>
      <c r="M22"/>
      <c r="N22"/>
      <c r="O22"/>
      <c r="P22"/>
      <c r="IT22"/>
    </row>
    <row r="23" spans="2:254" s="1" customFormat="1" ht="15.75" thickBot="1" x14ac:dyDescent="0.3">
      <c r="B23" s="104" t="s">
        <v>28</v>
      </c>
      <c r="C23" s="46"/>
      <c r="D23" s="168">
        <f>SUM(D3:D21)</f>
        <v>7457.815599999999</v>
      </c>
      <c r="E23" s="4"/>
      <c r="J23"/>
      <c r="K23"/>
      <c r="L23"/>
      <c r="M23"/>
      <c r="N23"/>
      <c r="O23"/>
      <c r="P23"/>
      <c r="IT23"/>
    </row>
    <row r="24" spans="2:254" s="1" customFormat="1" x14ac:dyDescent="0.25">
      <c r="B24" s="45"/>
      <c r="C24" s="46"/>
      <c r="D24" s="166"/>
      <c r="J24"/>
      <c r="K24"/>
      <c r="L24"/>
      <c r="M24"/>
      <c r="N24"/>
      <c r="O24"/>
      <c r="P24"/>
      <c r="IT24"/>
    </row>
    <row r="25" spans="2:254" s="1" customFormat="1" x14ac:dyDescent="0.25">
      <c r="B25" s="104" t="s">
        <v>29</v>
      </c>
      <c r="C25" s="46"/>
      <c r="D25" s="166"/>
      <c r="E25" s="4"/>
      <c r="J25"/>
      <c r="K25"/>
      <c r="L25"/>
      <c r="M25"/>
      <c r="N25"/>
      <c r="O25"/>
      <c r="P25"/>
      <c r="IT25"/>
    </row>
    <row r="26" spans="2:254" s="1" customFormat="1" x14ac:dyDescent="0.25">
      <c r="B26" s="46" t="s">
        <v>30</v>
      </c>
      <c r="C26" s="46"/>
      <c r="D26" s="166">
        <v>800</v>
      </c>
      <c r="E26" s="4"/>
      <c r="J26"/>
      <c r="K26"/>
      <c r="L26"/>
      <c r="M26"/>
      <c r="N26"/>
      <c r="O26"/>
      <c r="P26"/>
      <c r="IT26"/>
    </row>
    <row r="27" spans="2:254" s="1" customFormat="1" x14ac:dyDescent="0.25">
      <c r="B27" s="46"/>
      <c r="C27" s="46"/>
      <c r="D27" s="46"/>
      <c r="J27"/>
      <c r="K27"/>
      <c r="L27"/>
      <c r="M27"/>
      <c r="N27"/>
      <c r="O27"/>
      <c r="P27"/>
      <c r="IT27"/>
    </row>
    <row r="28" spans="2:254" s="1" customFormat="1" x14ac:dyDescent="0.25">
      <c r="B28" s="46"/>
      <c r="C28" s="46"/>
      <c r="D28" s="103"/>
      <c r="J28"/>
      <c r="K28"/>
      <c r="L28"/>
      <c r="M28"/>
      <c r="N28"/>
      <c r="O28"/>
      <c r="P28"/>
      <c r="IT28"/>
    </row>
    <row r="29" spans="2:254" s="1" customFormat="1" x14ac:dyDescent="0.25">
      <c r="B29" s="46" t="s">
        <v>35</v>
      </c>
      <c r="C29" s="46"/>
      <c r="D29" s="103"/>
      <c r="E29" s="4"/>
      <c r="J29"/>
      <c r="K29"/>
      <c r="L29"/>
      <c r="M29"/>
      <c r="N29"/>
      <c r="O29"/>
      <c r="P29"/>
      <c r="IT29"/>
    </row>
    <row r="30" spans="2:254" s="1" customFormat="1" x14ac:dyDescent="0.25">
      <c r="B30" s="105" t="s">
        <v>31</v>
      </c>
      <c r="C30" s="46">
        <v>3.7</v>
      </c>
      <c r="D30" s="46">
        <v>4.45</v>
      </c>
      <c r="E30" s="4"/>
      <c r="J30"/>
      <c r="K30"/>
      <c r="L30"/>
      <c r="M30"/>
      <c r="N30"/>
      <c r="O30"/>
      <c r="P30"/>
      <c r="IT30"/>
    </row>
    <row r="31" spans="2:254" s="1" customFormat="1" x14ac:dyDescent="0.25">
      <c r="B31" s="105" t="s">
        <v>32</v>
      </c>
      <c r="C31" s="46">
        <v>40</v>
      </c>
      <c r="D31" s="103"/>
      <c r="E31" s="4"/>
      <c r="J31"/>
      <c r="K31"/>
      <c r="L31"/>
      <c r="M31"/>
      <c r="N31"/>
      <c r="O31"/>
      <c r="P31"/>
      <c r="IT31"/>
    </row>
    <row r="32" spans="2:254" s="1" customFormat="1" x14ac:dyDescent="0.25">
      <c r="B32" s="100" t="s">
        <v>33</v>
      </c>
      <c r="C32" s="106">
        <f>C31*C30</f>
        <v>148</v>
      </c>
      <c r="D32" s="106">
        <v>178</v>
      </c>
      <c r="E32" s="3"/>
      <c r="J32"/>
      <c r="K32"/>
      <c r="L32"/>
      <c r="M32"/>
      <c r="N32"/>
      <c r="O32"/>
      <c r="P32"/>
      <c r="IT32"/>
    </row>
    <row r="33" spans="2:254" s="1" customFormat="1" x14ac:dyDescent="0.25">
      <c r="B33" s="105" t="s">
        <v>34</v>
      </c>
      <c r="C33" s="107">
        <f>Admin_HourlyRate</f>
        <v>35.315799999999996</v>
      </c>
      <c r="D33" s="99">
        <f>IF('Contract Amount Calc - School'!C2="Special Needs Bus Service",D30*Sheet1!C31*Sheet1!C33,C30*C31*Sheet1!C33)</f>
        <v>5226.7383999999993</v>
      </c>
      <c r="E33" s="4" t="s">
        <v>58</v>
      </c>
      <c r="J33"/>
      <c r="K33"/>
      <c r="L33"/>
      <c r="M33"/>
      <c r="N33"/>
      <c r="O33"/>
      <c r="P33"/>
      <c r="IT33"/>
    </row>
    <row r="34" spans="2:254" s="1" customFormat="1" x14ac:dyDescent="0.25">
      <c r="B34" s="46"/>
      <c r="C34" s="102"/>
      <c r="D34" s="99"/>
      <c r="E34" s="4"/>
      <c r="J34"/>
      <c r="K34"/>
      <c r="L34"/>
      <c r="M34"/>
      <c r="N34"/>
      <c r="O34"/>
      <c r="P34"/>
      <c r="IT34"/>
    </row>
    <row r="35" spans="2:254" s="1" customFormat="1" x14ac:dyDescent="0.25">
      <c r="B35" s="45" t="s">
        <v>36</v>
      </c>
      <c r="C35" s="46"/>
      <c r="D35" s="99">
        <v>120</v>
      </c>
      <c r="E35" s="4"/>
      <c r="J35"/>
      <c r="K35"/>
      <c r="L35"/>
      <c r="M35"/>
      <c r="N35"/>
      <c r="O35"/>
      <c r="P35"/>
      <c r="IT35"/>
    </row>
    <row r="36" spans="2:254" s="1" customFormat="1" x14ac:dyDescent="0.25">
      <c r="B36" s="45" t="s">
        <v>37</v>
      </c>
      <c r="C36" s="46"/>
      <c r="D36" s="99">
        <v>200</v>
      </c>
      <c r="E36" s="4"/>
      <c r="J36"/>
      <c r="K36"/>
      <c r="L36"/>
      <c r="M36"/>
      <c r="N36"/>
      <c r="O36"/>
      <c r="P36"/>
      <c r="IT36"/>
    </row>
    <row r="37" spans="2:254" s="1" customFormat="1" x14ac:dyDescent="0.25">
      <c r="B37" s="45" t="s">
        <v>38</v>
      </c>
      <c r="C37" s="46"/>
      <c r="D37" s="99">
        <v>300</v>
      </c>
      <c r="E37" s="4"/>
      <c r="J37"/>
      <c r="K37"/>
      <c r="L37"/>
      <c r="M37"/>
      <c r="N37"/>
      <c r="O37"/>
      <c r="P37"/>
      <c r="IT37"/>
    </row>
    <row r="38" spans="2:254" s="1" customFormat="1" x14ac:dyDescent="0.25">
      <c r="B38" s="45" t="s">
        <v>39</v>
      </c>
      <c r="C38" s="46"/>
      <c r="D38" s="99">
        <v>700</v>
      </c>
      <c r="E38" s="4"/>
      <c r="J38"/>
      <c r="K38"/>
      <c r="L38"/>
      <c r="M38"/>
      <c r="N38"/>
      <c r="O38"/>
      <c r="P38"/>
      <c r="IT38"/>
    </row>
    <row r="39" spans="2:254" s="1" customFormat="1" x14ac:dyDescent="0.25">
      <c r="B39" s="45" t="s">
        <v>62</v>
      </c>
      <c r="C39" s="46"/>
      <c r="D39" s="169">
        <v>500</v>
      </c>
      <c r="E39" s="4"/>
      <c r="F39" s="244">
        <f>ROUND(SUM(D10:D17,D26,D33:D39),2)</f>
        <v>11038.04</v>
      </c>
      <c r="I39" s="21"/>
      <c r="J39"/>
      <c r="K39"/>
      <c r="L39"/>
      <c r="M39"/>
      <c r="N39"/>
      <c r="O39"/>
      <c r="P39"/>
    </row>
    <row r="40" spans="2:254" s="1" customFormat="1" ht="16.5" x14ac:dyDescent="0.35">
      <c r="D40" s="170"/>
      <c r="F40" s="20"/>
      <c r="G40" s="20"/>
      <c r="H40" s="16"/>
      <c r="J40"/>
      <c r="K40"/>
      <c r="L40"/>
      <c r="M40"/>
      <c r="N40"/>
      <c r="O40"/>
      <c r="P40"/>
      <c r="IT40"/>
    </row>
    <row r="41" spans="2:254" s="1" customFormat="1" ht="15.75" thickBot="1" x14ac:dyDescent="0.3">
      <c r="B41" s="14" t="s">
        <v>40</v>
      </c>
      <c r="D41" s="171">
        <f>SUM(D26,D33,D35:D39)</f>
        <v>7846.7383999999993</v>
      </c>
      <c r="E41" s="22"/>
      <c r="J41"/>
      <c r="K41"/>
      <c r="L41"/>
      <c r="M41"/>
      <c r="N41"/>
      <c r="O41"/>
      <c r="P41"/>
      <c r="IT41"/>
    </row>
    <row r="42" spans="2:254" s="1" customFormat="1" x14ac:dyDescent="0.25">
      <c r="B42" s="4"/>
      <c r="D42" s="172"/>
      <c r="I42" s="25"/>
      <c r="J42"/>
      <c r="K42"/>
      <c r="L42"/>
      <c r="M42"/>
      <c r="N42"/>
      <c r="O42"/>
      <c r="P42"/>
      <c r="IT42"/>
    </row>
    <row r="43" spans="2:254" s="1" customFormat="1" ht="24" customHeight="1" thickBot="1" x14ac:dyDescent="0.3">
      <c r="B43" s="14" t="s">
        <v>41</v>
      </c>
      <c r="D43" s="173">
        <f>D23+D41</f>
        <v>15304.553999999998</v>
      </c>
      <c r="E43" s="3"/>
      <c r="H43" s="25"/>
      <c r="J43"/>
      <c r="K43"/>
      <c r="L43"/>
      <c r="M43"/>
      <c r="N43"/>
      <c r="O43"/>
      <c r="P43"/>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row>
    <row r="44" spans="2:254" s="1" customFormat="1" ht="15.75" thickTop="1" x14ac:dyDescent="0.25">
      <c r="B44" s="23"/>
      <c r="C44" s="24"/>
      <c r="D44" s="3"/>
      <c r="J44"/>
      <c r="K44"/>
      <c r="L44"/>
      <c r="M44"/>
      <c r="N44"/>
      <c r="O44"/>
      <c r="P44"/>
      <c r="IT44"/>
    </row>
    <row r="45" spans="2:254" s="1" customFormat="1" x14ac:dyDescent="0.25">
      <c r="B45" s="14" t="s">
        <v>59</v>
      </c>
      <c r="D45" s="26" t="s">
        <v>42</v>
      </c>
      <c r="E45" s="4"/>
      <c r="J45"/>
      <c r="K45"/>
      <c r="L45"/>
      <c r="M45"/>
      <c r="N45"/>
      <c r="O45"/>
      <c r="P45"/>
      <c r="IT45"/>
    </row>
    <row r="46" spans="2:254" s="1" customFormat="1" x14ac:dyDescent="0.25">
      <c r="B46" s="5"/>
      <c r="C46" s="27"/>
      <c r="D46" s="26"/>
      <c r="E46" s="4"/>
      <c r="J46"/>
      <c r="K46"/>
      <c r="L46"/>
      <c r="M46"/>
      <c r="N46"/>
      <c r="O46"/>
      <c r="P46"/>
      <c r="IT46"/>
    </row>
    <row r="47" spans="2:254" s="1" customFormat="1" x14ac:dyDescent="0.25">
      <c r="B47" s="5" t="s">
        <v>43</v>
      </c>
      <c r="C47" s="28" t="b">
        <f>IF('Contract Amount Calc - School'!C4="Small",IF('Contract Amount Calc - School'!C17="Base",0.165,0.195),IF('Contract Amount Calc - School'!C4="Medium",IF('Contract Amount Calc - School'!C17="Base",0.22,0.25),IF('Contract Amount Calc - School'!C4="Large",IF('Contract Amount Calc - School'!C17="Base",0.35,IF('Contract Amount Calc - School'!C17="Step 1",0.38,0.42)),IF('Contract Amount Calc - School'!C4="X-Large",IF('Contract Amount Calc - School'!C17="Base",0.35,IF('Contract Amount Calc - School'!C17="Step 1",0.38,0.42)),IF('Contract Amount Calc - School'!C4="Articulated",IF('Contract Amount Calc - School'!C17="Base",0.5,0.52))))))</f>
        <v>0</v>
      </c>
      <c r="D47" s="26"/>
      <c r="E47" s="4"/>
      <c r="J47"/>
      <c r="K47"/>
      <c r="L47"/>
      <c r="M47"/>
      <c r="N47"/>
      <c r="O47"/>
      <c r="P47"/>
      <c r="IT47"/>
    </row>
    <row r="48" spans="2:254" s="1" customFormat="1" x14ac:dyDescent="0.25">
      <c r="B48" s="5" t="s">
        <v>44</v>
      </c>
      <c r="C48" s="29">
        <f>IF('Contract Amount Calc - School'!C16="Tier 2",Sheet1!D48,Sheet1!D48+Sheet1!E48)</f>
        <v>1.45</v>
      </c>
      <c r="D48" s="26">
        <v>1.45</v>
      </c>
      <c r="E48" s="4">
        <v>0.4</v>
      </c>
      <c r="J48"/>
      <c r="K48"/>
      <c r="L48"/>
      <c r="M48"/>
      <c r="N48"/>
      <c r="O48"/>
      <c r="P48"/>
      <c r="IT48"/>
    </row>
    <row r="49" spans="2:254" s="1" customFormat="1" x14ac:dyDescent="0.25">
      <c r="B49" s="5" t="s">
        <v>45</v>
      </c>
      <c r="C49" s="30">
        <v>-0.154</v>
      </c>
      <c r="D49" s="11"/>
      <c r="E49" s="4"/>
      <c r="J49"/>
      <c r="K49"/>
      <c r="L49"/>
      <c r="M49"/>
      <c r="N49"/>
      <c r="O49"/>
      <c r="P49"/>
      <c r="IT49"/>
    </row>
    <row r="50" spans="2:254" s="1" customFormat="1" x14ac:dyDescent="0.25">
      <c r="B50" s="5" t="s">
        <v>46</v>
      </c>
      <c r="C50" s="31" t="e">
        <f>(C48+C49)/(1/C47)</f>
        <v>#DIV/0!</v>
      </c>
      <c r="D50" s="32">
        <f>(C48+C49)*C47</f>
        <v>0</v>
      </c>
      <c r="E50" s="33"/>
      <c r="J50"/>
      <c r="K50"/>
      <c r="L50"/>
      <c r="M50"/>
      <c r="N50"/>
      <c r="O50"/>
      <c r="P50"/>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row>
    <row r="51" spans="2:254" s="1" customFormat="1" x14ac:dyDescent="0.25">
      <c r="C51" s="27"/>
      <c r="D51" s="2"/>
      <c r="J51"/>
      <c r="K51"/>
      <c r="L51"/>
      <c r="M51"/>
      <c r="N51"/>
      <c r="O51"/>
      <c r="P51"/>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row>
    <row r="52" spans="2:254" s="1" customFormat="1" x14ac:dyDescent="0.25">
      <c r="B52" s="14" t="s">
        <v>47</v>
      </c>
      <c r="C52" s="27"/>
      <c r="D52" s="34"/>
      <c r="E52" s="33"/>
      <c r="J52"/>
      <c r="K52"/>
      <c r="L52"/>
      <c r="M52"/>
      <c r="N52"/>
      <c r="O52"/>
      <c r="P52"/>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row>
    <row r="53" spans="2:254" s="1" customFormat="1" x14ac:dyDescent="0.25">
      <c r="B53" s="5" t="s">
        <v>48</v>
      </c>
      <c r="C53" s="17">
        <f>IF('Contract Amount Calc - School'!C19="Yes",('Contract Amount Calc - School'!C20/'Contract Amount Calc - School'!C5),0)</f>
        <v>0</v>
      </c>
      <c r="D53" s="2"/>
      <c r="J53"/>
      <c r="K53"/>
      <c r="L53"/>
      <c r="M53"/>
      <c r="N53"/>
      <c r="O53"/>
      <c r="P53"/>
      <c r="IT53"/>
    </row>
    <row r="54" spans="2:254" s="1" customFormat="1" x14ac:dyDescent="0.25">
      <c r="B54" s="5" t="s">
        <v>49</v>
      </c>
      <c r="C54" s="35">
        <v>1.25</v>
      </c>
      <c r="D54" s="34"/>
      <c r="E54" s="33"/>
      <c r="J54"/>
      <c r="K54"/>
      <c r="L54"/>
      <c r="M54"/>
      <c r="N54"/>
      <c r="O54"/>
      <c r="P54"/>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row>
    <row r="55" spans="2:254" s="1" customFormat="1" x14ac:dyDescent="0.25">
      <c r="B55" s="5" t="s">
        <v>50</v>
      </c>
      <c r="C55" s="27">
        <f>5/100</f>
        <v>0.05</v>
      </c>
      <c r="D55" s="2"/>
      <c r="E55" s="33"/>
      <c r="J55"/>
      <c r="K55"/>
      <c r="L55"/>
      <c r="M55"/>
      <c r="N55"/>
      <c r="O55"/>
      <c r="P5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row>
    <row r="56" spans="2:254" s="1" customFormat="1" x14ac:dyDescent="0.25">
      <c r="B56" s="5" t="s">
        <v>51</v>
      </c>
      <c r="C56" s="31">
        <f>0.063*C53</f>
        <v>0</v>
      </c>
      <c r="D56" s="36"/>
      <c r="E56" s="33"/>
      <c r="J56"/>
      <c r="K56"/>
      <c r="L56"/>
      <c r="M56"/>
      <c r="N56"/>
      <c r="O56"/>
      <c r="P56"/>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row>
    <row r="57" spans="2:254" s="1" customFormat="1" x14ac:dyDescent="0.25">
      <c r="B57" s="5"/>
      <c r="C57" s="47"/>
      <c r="D57" s="36"/>
      <c r="E57" s="33"/>
      <c r="J57"/>
      <c r="K57"/>
      <c r="L57"/>
      <c r="M57"/>
      <c r="N57"/>
      <c r="O57"/>
      <c r="P57"/>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row>
    <row r="58" spans="2:254" s="1" customFormat="1" x14ac:dyDescent="0.25">
      <c r="B58" s="4" t="s">
        <v>52</v>
      </c>
      <c r="C58" s="1" t="b">
        <f>IF('Contract Amount Calc - School'!C4="Small",IF('Contract Amount Calc - School'!C18="Base",0.342,0.372),IF('Contract Amount Calc - School'!C4="Medium",IF('Contract Amount Calc - School'!C18="Base",0.456,0.486),IF('Contract Amount Calc - School'!C4="Large",IF('Contract Amount Calc - School'!C18="Base",0.538,0.568),IF('Contract Amount Calc - School'!C4="X-Large",IF('Contract Amount Calc - School'!C18="Base",0.59,0.62),IF('Contract Amount Calc - School'!C4="Articulated",IF('Contract Amount Calc - School'!C18="Base",0.746,0.776))))))</f>
        <v>0</v>
      </c>
      <c r="D58" s="2"/>
      <c r="E58" s="33"/>
      <c r="J58"/>
      <c r="K58"/>
      <c r="L58"/>
      <c r="M58"/>
      <c r="N58"/>
      <c r="O58"/>
      <c r="P58"/>
      <c r="IT58"/>
    </row>
    <row r="59" spans="2:254" s="1" customFormat="1" x14ac:dyDescent="0.25">
      <c r="B59" s="4"/>
      <c r="D59" s="37"/>
      <c r="J59"/>
      <c r="K59"/>
      <c r="L59"/>
      <c r="M59"/>
      <c r="N59"/>
      <c r="O59"/>
      <c r="P59"/>
      <c r="IT59"/>
    </row>
    <row r="60" spans="2:254" s="1" customFormat="1" ht="15.75" thickBot="1" x14ac:dyDescent="0.3">
      <c r="B60" s="5" t="s">
        <v>53</v>
      </c>
      <c r="D60" s="38" t="e">
        <f>(C50+C56+C58)</f>
        <v>#DIV/0!</v>
      </c>
      <c r="J60"/>
      <c r="K60"/>
      <c r="L60"/>
      <c r="M60"/>
      <c r="N60"/>
      <c r="O60"/>
      <c r="P60"/>
    </row>
    <row r="61" spans="2:254" s="1" customFormat="1" ht="15.75" thickTop="1" x14ac:dyDescent="0.25">
      <c r="B61" s="5"/>
      <c r="J61"/>
      <c r="K61"/>
      <c r="L61"/>
      <c r="M61"/>
      <c r="N61"/>
      <c r="O61"/>
      <c r="P61"/>
    </row>
    <row r="62" spans="2:254" s="1" customFormat="1" x14ac:dyDescent="0.25">
      <c r="B62" s="14" t="s">
        <v>60</v>
      </c>
      <c r="D62" s="47"/>
      <c r="J62"/>
      <c r="K62"/>
      <c r="L62"/>
      <c r="M62"/>
      <c r="N62"/>
      <c r="O62"/>
      <c r="P62"/>
    </row>
    <row r="63" spans="2:254" s="1" customFormat="1" x14ac:dyDescent="0.25">
      <c r="B63" s="5" t="s">
        <v>61</v>
      </c>
      <c r="C63" s="35"/>
      <c r="D63" s="35">
        <v>0.68</v>
      </c>
      <c r="J63"/>
      <c r="K63"/>
      <c r="L63"/>
      <c r="M63"/>
      <c r="N63"/>
      <c r="O63"/>
      <c r="P63"/>
    </row>
    <row r="64" spans="2:254" s="1" customFormat="1" x14ac:dyDescent="0.25">
      <c r="B64" s="4"/>
      <c r="D64" s="35"/>
      <c r="J64"/>
      <c r="K64"/>
      <c r="L64"/>
      <c r="M64"/>
      <c r="N64"/>
      <c r="O64"/>
      <c r="P64"/>
    </row>
    <row r="65" spans="2:254" s="1" customFormat="1" x14ac:dyDescent="0.25">
      <c r="D65" s="2"/>
      <c r="E65" s="3"/>
      <c r="J65"/>
      <c r="K65"/>
      <c r="L65"/>
      <c r="M65"/>
      <c r="N65"/>
      <c r="O65"/>
      <c r="P65"/>
    </row>
    <row r="66" spans="2:254" s="1" customFormat="1" ht="15.75" thickBot="1" x14ac:dyDescent="0.3">
      <c r="B66" s="4" t="s">
        <v>0</v>
      </c>
      <c r="C66" s="7">
        <v>0.06</v>
      </c>
      <c r="D66" s="2"/>
      <c r="E66" s="3"/>
      <c r="J66"/>
      <c r="K66"/>
      <c r="L66"/>
      <c r="M66"/>
      <c r="N66"/>
      <c r="O66"/>
      <c r="P66"/>
    </row>
    <row r="67" spans="2:254" s="1" customFormat="1" ht="15.75" thickTop="1" x14ac:dyDescent="0.25">
      <c r="B67" s="6"/>
      <c r="C67" s="8"/>
      <c r="D67" s="2"/>
      <c r="E67" s="3"/>
      <c r="J67"/>
      <c r="K67"/>
      <c r="L67"/>
      <c r="M67"/>
      <c r="N67"/>
      <c r="O67"/>
      <c r="P67"/>
    </row>
    <row r="68" spans="2:254" s="1" customFormat="1" x14ac:dyDescent="0.25">
      <c r="B68" s="4"/>
      <c r="D68" s="2"/>
      <c r="E68" s="3"/>
      <c r="J68"/>
      <c r="K68"/>
      <c r="L68"/>
      <c r="M68"/>
      <c r="N68"/>
      <c r="O68"/>
      <c r="P68"/>
    </row>
    <row r="69" spans="2:254" s="1" customFormat="1" x14ac:dyDescent="0.25">
      <c r="B69" s="9" t="s">
        <v>1</v>
      </c>
      <c r="D69" s="10"/>
      <c r="E69" s="3"/>
      <c r="J69"/>
      <c r="K69"/>
      <c r="L69"/>
      <c r="M69"/>
      <c r="N69"/>
      <c r="O69"/>
      <c r="P69"/>
    </row>
    <row r="70" spans="2:254" s="1" customFormat="1" x14ac:dyDescent="0.25">
      <c r="B70" s="4" t="s">
        <v>2</v>
      </c>
      <c r="D70" s="10">
        <v>2.5000000000000001E-2</v>
      </c>
      <c r="E70" s="3"/>
      <c r="J70"/>
      <c r="K70"/>
      <c r="L70"/>
      <c r="M70"/>
      <c r="N70"/>
      <c r="O70"/>
      <c r="P70"/>
    </row>
    <row r="71" spans="2:254" s="1" customFormat="1" x14ac:dyDescent="0.25">
      <c r="B71" s="4" t="s">
        <v>3</v>
      </c>
      <c r="D71" s="10">
        <v>9.5000000000000001E-2</v>
      </c>
      <c r="E71" s="3"/>
      <c r="J71"/>
      <c r="K71"/>
      <c r="L71"/>
      <c r="M71"/>
      <c r="N71"/>
      <c r="O71"/>
      <c r="P71"/>
    </row>
    <row r="72" spans="2:254" s="1" customFormat="1" x14ac:dyDescent="0.25">
      <c r="B72" s="4" t="s">
        <v>4</v>
      </c>
      <c r="C72" s="10"/>
      <c r="D72" s="10">
        <v>3.5999999999999997E-2</v>
      </c>
      <c r="E72" s="3"/>
      <c r="J72"/>
      <c r="K72"/>
      <c r="L72"/>
      <c r="M72"/>
      <c r="N72"/>
      <c r="O72"/>
      <c r="P72"/>
    </row>
    <row r="73" spans="2:254" s="1" customFormat="1" x14ac:dyDescent="0.25">
      <c r="D73" s="11" t="s">
        <v>6</v>
      </c>
      <c r="E73" s="12" t="s">
        <v>7</v>
      </c>
      <c r="J73"/>
      <c r="K73"/>
      <c r="L73"/>
      <c r="M73"/>
      <c r="N73"/>
      <c r="O73"/>
      <c r="P73"/>
    </row>
    <row r="74" spans="2:254" s="1" customFormat="1" x14ac:dyDescent="0.25">
      <c r="B74" s="9" t="s">
        <v>8</v>
      </c>
      <c r="D74" s="2">
        <v>30.55</v>
      </c>
      <c r="E74" s="13">
        <f>(D74*(1+D70+D71+D72))</f>
        <v>35.315799999999996</v>
      </c>
      <c r="J74"/>
      <c r="K74"/>
      <c r="L74"/>
      <c r="M74"/>
      <c r="N74"/>
      <c r="O74"/>
      <c r="P74"/>
    </row>
    <row r="75" spans="2:254" s="1" customFormat="1" x14ac:dyDescent="0.25">
      <c r="B75" s="9" t="s">
        <v>55</v>
      </c>
      <c r="D75" s="2"/>
      <c r="E75" s="13"/>
      <c r="F75" s="1" t="s">
        <v>79</v>
      </c>
      <c r="J75"/>
      <c r="K75"/>
      <c r="L75"/>
      <c r="M75"/>
      <c r="N75"/>
      <c r="O75"/>
      <c r="P75"/>
    </row>
    <row r="76" spans="2:254" s="1" customFormat="1" x14ac:dyDescent="0.25">
      <c r="B76" s="4" t="s">
        <v>54</v>
      </c>
      <c r="D76" s="2">
        <v>27.64</v>
      </c>
      <c r="E76" s="13">
        <f>(D76*(1+$D$70+D71+$D$72))</f>
        <v>31.951839999999997</v>
      </c>
      <c r="F76" s="3">
        <f>Driver_Weekday*0.417</f>
        <v>13.323917279999998</v>
      </c>
      <c r="G76" s="3"/>
      <c r="J76"/>
      <c r="K76"/>
      <c r="L76"/>
      <c r="M76"/>
      <c r="N76"/>
      <c r="O76"/>
      <c r="P76"/>
      <c r="IT76"/>
    </row>
    <row r="77" spans="2:254" s="1" customFormat="1" ht="15.75" x14ac:dyDescent="0.25">
      <c r="B77" s="39"/>
      <c r="C77" s="42"/>
      <c r="I77" s="43"/>
      <c r="J77"/>
      <c r="K77"/>
      <c r="L77"/>
      <c r="M77"/>
      <c r="N77"/>
      <c r="O77"/>
      <c r="P77"/>
    </row>
  </sheetData>
  <protectedRanges>
    <protectedRange sqref="C58 E1:E73 G1:K73 F59:F73 F1:F57" name="Approved Vehicles"/>
  </protectedRanges>
  <dataValidations count="1">
    <dataValidation type="list" allowBlank="1" showInputMessage="1" showErrorMessage="1" sqref="IV45 SR45 ACN45 AMJ45 AWF45 BGB45 BPX45 BZT45 CJP45 CTL45 DDH45 DND45 DWZ45 EGV45 EQR45 FAN45 FKJ45 FUF45 GEB45 GNX45 GXT45 HHP45 HRL45 IBH45 ILD45 IUZ45 JEV45 JOR45 JYN45 KIJ45 KSF45 LCB45 LLX45 LVT45 MFP45 MPL45 MZH45 NJD45 NSZ45 OCV45 OMR45 OWN45 PGJ45 PQF45 QAB45 QJX45 QTT45 RDP45 RNL45 RXH45 SHD45 SQZ45 TAV45 TKR45 TUN45 UEJ45 UOF45 UYB45 VHX45 VRT45 WBP45 WLL45 WVH45">
      <formula1>"Base, Step 1"</formula1>
    </dataValidation>
  </dataValidations>
  <pageMargins left="0.7" right="0.7" top="0.75" bottom="0.75" header="0.3" footer="0.3"/>
  <pageSetup paperSize="9" orientation="portrait" r:id="rId1"/>
  <customProperties>
    <customPr name="SSC_SHEET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
  <sheetViews>
    <sheetView workbookViewId="0"/>
  </sheetViews>
  <sheetFormatPr defaultRowHeight="15" x14ac:dyDescent="0.25"/>
  <sheetData>
    <row r="1" spans="1:5" x14ac:dyDescent="0.25">
      <c r="A1" t="s">
        <v>116</v>
      </c>
      <c r="C1" t="s">
        <v>113</v>
      </c>
      <c r="D1" t="s">
        <v>117</v>
      </c>
      <c r="E1" t="s">
        <v>112</v>
      </c>
    </row>
    <row r="2" spans="1:5" x14ac:dyDescent="0.25">
      <c r="C2" t="s">
        <v>146</v>
      </c>
    </row>
    <row r="3" spans="1:5" x14ac:dyDescent="0.25">
      <c r="C3" t="s">
        <v>148</v>
      </c>
    </row>
    <row r="4" spans="1:5" x14ac:dyDescent="0.25">
      <c r="C4"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Contract Amount Calc - School</vt:lpstr>
      <vt:lpstr>Maximum Capital Rates - School</vt:lpstr>
      <vt:lpstr>Sheet1</vt:lpstr>
      <vt:lpstr>Admin_HourlyRate</vt:lpstr>
      <vt:lpstr>Bus_Fixed_Costs</vt:lpstr>
      <vt:lpstr>CompInsMin</vt:lpstr>
      <vt:lpstr>Driver_Weekday</vt:lpstr>
    </vt:vector>
  </TitlesOfParts>
  <Company>Department of State Growth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 Craig</dc:creator>
  <cp:lastModifiedBy>Elliot, Craig</cp:lastModifiedBy>
  <cp:lastPrinted>2019-06-18T05:57:05Z</cp:lastPrinted>
  <dcterms:created xsi:type="dcterms:W3CDTF">2018-07-04T02:06:45Z</dcterms:created>
  <dcterms:modified xsi:type="dcterms:W3CDTF">2019-11-12T04:27:41Z</dcterms:modified>
</cp:coreProperties>
</file>