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c-elliot\Desktop\Web info\"/>
    </mc:Choice>
  </mc:AlternateContent>
  <workbookProtection workbookAlgorithmName="SHA-512" workbookHashValue="GmLEvAmsGS8gWJLf9IBbT+qigrpgNN29J0t/cwLmC8iU6Xn+DDEl2Ak1nulPSgl8MQql9Bkj/ieHqXPtZqEbLg==" workbookSaltValue="UX1LQfH+m4NQI8yRno1xZg==" workbookSpinCount="100000" lockStructure="1"/>
  <bookViews>
    <workbookView xWindow="0" yWindow="0" windowWidth="28800" windowHeight="12210"/>
  </bookViews>
  <sheets>
    <sheet name="Contract Amount Calc - School" sheetId="1" r:id="rId1"/>
    <sheet name="Maximum Capital Rates - School" sheetId="2" r:id="rId2"/>
    <sheet name="Sheet1" sheetId="4" state="hidden" r:id="rId3"/>
    <sheet name="_SSC" sheetId="3" state="veryHidden" r:id="rId4"/>
  </sheets>
  <definedNames>
    <definedName name="_inputcolorcell" hidden="1">'Contract Amount Calc - School'!$E$3</definedName>
    <definedName name="Admin_HourlyRate">Sheet1!$E$75</definedName>
    <definedName name="Bus_Fixed_Costs">Sheet1!$D$44</definedName>
    <definedName name="CompInsMin">'Contract Amount Calc - School'!$D$8</definedName>
    <definedName name="Driver_Sat">'Contract Amount Calc - School'!#REF!</definedName>
    <definedName name="Driver_Weekday">Sheet1!$E$77</definedName>
    <definedName name="GA_Maximum_Age">11</definedName>
    <definedName name="Maximum_Age_Med_Lrg_XLrg">21</definedName>
    <definedName name="Maximum_Age_Med_Lrg_XLrg_Artic">21</definedName>
    <definedName name="MaximumAge_Artic">26</definedName>
    <definedName name="Sml_Maximum_Age">12</definedName>
    <definedName name="Supervisor_HourlyRate">'Contract Amount Calc - School'!#REF!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6" i="1" l="1"/>
  <c r="AC7" i="1"/>
  <c r="AC8" i="1"/>
  <c r="AC3" i="1"/>
  <c r="AC4" i="1"/>
  <c r="AC5" i="1"/>
  <c r="B14" i="2" l="1"/>
  <c r="AB4" i="1" l="1"/>
  <c r="AD4" i="1" s="1"/>
  <c r="AB5" i="1"/>
  <c r="AD5" i="1" s="1"/>
  <c r="AA6" i="1"/>
  <c r="AB6" i="1"/>
  <c r="AD6" i="1" s="1"/>
  <c r="AA7" i="1"/>
  <c r="AB7" i="1"/>
  <c r="AA8" i="1"/>
  <c r="AB8" i="1"/>
  <c r="AD8" i="1" s="1"/>
  <c r="AB3" i="1"/>
  <c r="AD3" i="1" s="1"/>
  <c r="AD7" i="1" l="1"/>
  <c r="Q4" i="1"/>
  <c r="Q5" i="1"/>
  <c r="Q6" i="1"/>
  <c r="Q7" i="1"/>
  <c r="Q8" i="1"/>
  <c r="Q3" i="1"/>
  <c r="W18" i="2"/>
  <c r="T18" i="2"/>
  <c r="Q18" i="2"/>
  <c r="N18" i="2"/>
  <c r="W6" i="1" l="1"/>
  <c r="W8" i="1"/>
  <c r="W7" i="1"/>
  <c r="E16" i="1"/>
  <c r="E17" i="1" l="1"/>
  <c r="C22" i="1" l="1"/>
  <c r="H40" i="2" l="1"/>
  <c r="H41" i="2" s="1"/>
  <c r="B40" i="2"/>
  <c r="B41" i="2"/>
  <c r="B42" i="2"/>
  <c r="B43" i="2"/>
  <c r="B44" i="2"/>
  <c r="H42" i="2" l="1"/>
  <c r="K41" i="2"/>
  <c r="K40" i="2"/>
  <c r="K42" i="2" l="1"/>
  <c r="H43" i="2"/>
  <c r="H44" i="2" l="1"/>
  <c r="K44" i="2" s="1"/>
  <c r="K43" i="2"/>
  <c r="C54" i="4" l="1"/>
  <c r="C57" i="4" s="1"/>
  <c r="X17" i="1" l="1"/>
  <c r="X16" i="1"/>
  <c r="V18" i="1" s="1"/>
  <c r="E40" i="2" l="1"/>
  <c r="E41" i="2"/>
  <c r="E42" i="2"/>
  <c r="E43" i="2"/>
  <c r="E44" i="2"/>
  <c r="D40" i="2"/>
  <c r="D41" i="2"/>
  <c r="D42" i="2"/>
  <c r="D43" i="2"/>
  <c r="D44" i="2"/>
  <c r="C40" i="2"/>
  <c r="C41" i="2"/>
  <c r="C42" i="2"/>
  <c r="C43" i="2"/>
  <c r="C44" i="2"/>
  <c r="L44" i="2" l="1"/>
  <c r="N44" i="2" s="1"/>
  <c r="M4" i="1" l="1"/>
  <c r="M5" i="1"/>
  <c r="M6" i="1"/>
  <c r="M7" i="1"/>
  <c r="M8" i="1"/>
  <c r="M3" i="1"/>
  <c r="W3" i="1" s="1"/>
  <c r="W4" i="1" l="1"/>
  <c r="AA4" i="1"/>
  <c r="AA5" i="1"/>
  <c r="W5" i="1"/>
  <c r="Y5" i="1"/>
  <c r="Z5" i="1"/>
  <c r="Y7" i="1"/>
  <c r="Z7" i="1"/>
  <c r="Y6" i="1"/>
  <c r="Z6" i="1"/>
  <c r="Y8" i="1"/>
  <c r="Z8" i="1"/>
  <c r="Y4" i="1"/>
  <c r="Z4" i="1"/>
  <c r="Y3" i="1"/>
  <c r="Z3" i="1"/>
  <c r="R8" i="1"/>
  <c r="X8" i="1" s="1"/>
  <c r="R7" i="1"/>
  <c r="X7" i="1" s="1"/>
  <c r="R6" i="1"/>
  <c r="X6" i="1" s="1"/>
  <c r="R5" i="1"/>
  <c r="X5" i="1" s="1"/>
  <c r="AA3" i="1"/>
  <c r="R4" i="1" l="1"/>
  <c r="X4" i="1" s="1"/>
  <c r="R3" i="1"/>
  <c r="X3" i="1" s="1"/>
  <c r="E51" i="2"/>
  <c r="E52" i="2"/>
  <c r="E53" i="2"/>
  <c r="E54" i="2"/>
  <c r="E50" i="2"/>
  <c r="D51" i="2"/>
  <c r="D52" i="2"/>
  <c r="D53" i="2"/>
  <c r="D54" i="2"/>
  <c r="D50" i="2"/>
  <c r="C51" i="2"/>
  <c r="C52" i="2"/>
  <c r="C53" i="2"/>
  <c r="C54" i="2"/>
  <c r="C50" i="2"/>
  <c r="T54" i="2"/>
  <c r="Q54" i="2"/>
  <c r="N54" i="2"/>
  <c r="S43" i="2"/>
  <c r="S40" i="2"/>
  <c r="S41" i="2"/>
  <c r="S42" i="2"/>
  <c r="S44" i="2"/>
  <c r="T44" i="2"/>
  <c r="P40" i="2"/>
  <c r="P41" i="2"/>
  <c r="P42" i="2"/>
  <c r="P43" i="2"/>
  <c r="P44" i="2"/>
  <c r="Q44" i="2"/>
  <c r="C28" i="1" l="1"/>
  <c r="C1" i="1" l="1"/>
  <c r="U19" i="2"/>
  <c r="V19" i="2" s="1"/>
  <c r="C48" i="4" l="1"/>
  <c r="C59" i="4"/>
  <c r="C16" i="4" l="1"/>
  <c r="D13" i="4"/>
  <c r="H20" i="2" l="1"/>
  <c r="H21" i="2" s="1"/>
  <c r="A20" i="2"/>
  <c r="R19" i="2"/>
  <c r="O19" i="2"/>
  <c r="L19" i="2"/>
  <c r="I19" i="2"/>
  <c r="K18" i="2"/>
  <c r="F18" i="2"/>
  <c r="E18" i="2"/>
  <c r="D18" i="2"/>
  <c r="C18" i="2"/>
  <c r="B18" i="2"/>
  <c r="B12" i="2"/>
  <c r="C11" i="2"/>
  <c r="D11" i="2" s="1"/>
  <c r="F8" i="2"/>
  <c r="F10" i="2" s="1"/>
  <c r="E8" i="2"/>
  <c r="D8" i="2"/>
  <c r="D19" i="2" s="1"/>
  <c r="C8" i="2"/>
  <c r="B8" i="2"/>
  <c r="B20" i="2" l="1"/>
  <c r="B23" i="2"/>
  <c r="B27" i="2"/>
  <c r="B29" i="2"/>
  <c r="B19" i="2"/>
  <c r="B24" i="2"/>
  <c r="B28" i="2"/>
  <c r="B22" i="2"/>
  <c r="B21" i="2"/>
  <c r="B25" i="2"/>
  <c r="B26" i="2"/>
  <c r="C10" i="2"/>
  <c r="C19" i="2"/>
  <c r="F19" i="2"/>
  <c r="S19" i="2"/>
  <c r="J19" i="2"/>
  <c r="K19" i="2"/>
  <c r="C20" i="2"/>
  <c r="R20" i="2"/>
  <c r="D20" i="2"/>
  <c r="E20" i="2"/>
  <c r="E10" i="2"/>
  <c r="E19" i="2"/>
  <c r="P19" i="2"/>
  <c r="B10" i="2"/>
  <c r="D10" i="2"/>
  <c r="I20" i="2"/>
  <c r="U20" i="2"/>
  <c r="V20" i="2" s="1"/>
  <c r="J20" i="2"/>
  <c r="O20" i="2"/>
  <c r="H22" i="2"/>
  <c r="C12" i="2"/>
  <c r="C14" i="2" s="1"/>
  <c r="M19" i="2"/>
  <c r="A21" i="2"/>
  <c r="L20" i="2"/>
  <c r="F20" i="2"/>
  <c r="N19" i="2" l="1"/>
  <c r="N41" i="2"/>
  <c r="N42" i="2"/>
  <c r="N43" i="2"/>
  <c r="N40" i="2"/>
  <c r="N51" i="2"/>
  <c r="N39" i="2"/>
  <c r="N50" i="2"/>
  <c r="N52" i="2"/>
  <c r="N53" i="2"/>
  <c r="N20" i="2"/>
  <c r="S20" i="2"/>
  <c r="P20" i="2"/>
  <c r="E21" i="2"/>
  <c r="R21" i="2"/>
  <c r="C21" i="2"/>
  <c r="D21" i="2"/>
  <c r="K20" i="2"/>
  <c r="M20" i="2"/>
  <c r="J21" i="2"/>
  <c r="U21" i="2"/>
  <c r="O21" i="2"/>
  <c r="I21" i="2"/>
  <c r="A22" i="2"/>
  <c r="L21" i="2"/>
  <c r="F21" i="2"/>
  <c r="D12" i="2"/>
  <c r="D14" i="2" s="1"/>
  <c r="E11" i="2"/>
  <c r="H23" i="2"/>
  <c r="Q19" i="2" l="1"/>
  <c r="Q51" i="2"/>
  <c r="Q40" i="2"/>
  <c r="Q41" i="2"/>
  <c r="Q42" i="2"/>
  <c r="Q43" i="2"/>
  <c r="Q53" i="2"/>
  <c r="Q50" i="2"/>
  <c r="Q52" i="2"/>
  <c r="Q21" i="2"/>
  <c r="N21" i="2"/>
  <c r="Q20" i="2"/>
  <c r="S21" i="2"/>
  <c r="D22" i="2"/>
  <c r="C22" i="2"/>
  <c r="R22" i="2"/>
  <c r="E22" i="2"/>
  <c r="K21" i="2"/>
  <c r="V21" i="2"/>
  <c r="M21" i="2"/>
  <c r="E12" i="2"/>
  <c r="E14" i="2" s="1"/>
  <c r="F11" i="2"/>
  <c r="P21" i="2"/>
  <c r="H24" i="2"/>
  <c r="A23" i="2"/>
  <c r="L22" i="2"/>
  <c r="U22" i="2"/>
  <c r="O22" i="2"/>
  <c r="J22" i="2"/>
  <c r="I22" i="2"/>
  <c r="F22" i="2"/>
  <c r="T50" i="2" l="1"/>
  <c r="T43" i="2"/>
  <c r="T51" i="2"/>
  <c r="T40" i="2"/>
  <c r="T53" i="2"/>
  <c r="T42" i="2"/>
  <c r="T41" i="2"/>
  <c r="T52" i="2"/>
  <c r="T19" i="2"/>
  <c r="T20" i="2"/>
  <c r="T21" i="2"/>
  <c r="D23" i="2"/>
  <c r="E23" i="2"/>
  <c r="R23" i="2"/>
  <c r="C23" i="2"/>
  <c r="N22" i="2"/>
  <c r="Q22" i="2"/>
  <c r="S22" i="2"/>
  <c r="T22" i="2"/>
  <c r="P22" i="2"/>
  <c r="J23" i="2"/>
  <c r="O23" i="2"/>
  <c r="Q23" i="2" s="1"/>
  <c r="I23" i="2"/>
  <c r="A24" i="2"/>
  <c r="L23" i="2"/>
  <c r="F23" i="2"/>
  <c r="U23" i="2"/>
  <c r="K22" i="2"/>
  <c r="V22" i="2"/>
  <c r="F12" i="2"/>
  <c r="F14" i="2" s="1"/>
  <c r="W19" i="2" s="1"/>
  <c r="H25" i="2"/>
  <c r="M22" i="2"/>
  <c r="F17" i="1"/>
  <c r="E23" i="1" l="1"/>
  <c r="N23" i="2"/>
  <c r="S23" i="2"/>
  <c r="T23" i="2"/>
  <c r="E24" i="2"/>
  <c r="D24" i="2"/>
  <c r="R24" i="2"/>
  <c r="C24" i="2"/>
  <c r="K23" i="2"/>
  <c r="W20" i="2"/>
  <c r="W21" i="2"/>
  <c r="W22" i="2"/>
  <c r="M23" i="2"/>
  <c r="P23" i="2"/>
  <c r="H26" i="2"/>
  <c r="V23" i="2"/>
  <c r="W23" i="2"/>
  <c r="A25" i="2"/>
  <c r="L24" i="2"/>
  <c r="N24" i="2" s="1"/>
  <c r="I24" i="2"/>
  <c r="F24" i="2"/>
  <c r="U24" i="2"/>
  <c r="O24" i="2"/>
  <c r="Q24" i="2" s="1"/>
  <c r="J24" i="2"/>
  <c r="E24" i="1"/>
  <c r="F24" i="1" s="1"/>
  <c r="E25" i="2" l="1"/>
  <c r="R25" i="2"/>
  <c r="D25" i="2"/>
  <c r="C25" i="2"/>
  <c r="S24" i="2"/>
  <c r="T24" i="2"/>
  <c r="K24" i="2"/>
  <c r="P24" i="2"/>
  <c r="M24" i="2"/>
  <c r="V24" i="2"/>
  <c r="W24" i="2"/>
  <c r="J25" i="2"/>
  <c r="A26" i="2"/>
  <c r="L25" i="2"/>
  <c r="F25" i="2"/>
  <c r="U25" i="2"/>
  <c r="O25" i="2"/>
  <c r="Q25" i="2" s="1"/>
  <c r="I25" i="2"/>
  <c r="H27" i="2"/>
  <c r="S25" i="2" l="1"/>
  <c r="T25" i="2"/>
  <c r="N25" i="2"/>
  <c r="D26" i="2"/>
  <c r="C26" i="2"/>
  <c r="R26" i="2"/>
  <c r="E26" i="2"/>
  <c r="P25" i="2"/>
  <c r="M25" i="2"/>
  <c r="H28" i="2"/>
  <c r="V25" i="2"/>
  <c r="W25" i="2"/>
  <c r="A27" i="2"/>
  <c r="L26" i="2"/>
  <c r="N26" i="2" s="1"/>
  <c r="F26" i="2"/>
  <c r="U26" i="2"/>
  <c r="O26" i="2"/>
  <c r="J26" i="2"/>
  <c r="I26" i="2"/>
  <c r="K25" i="2"/>
  <c r="S26" i="2" l="1"/>
  <c r="T26" i="2"/>
  <c r="Q26" i="2"/>
  <c r="D27" i="2"/>
  <c r="C27" i="2"/>
  <c r="E27" i="2"/>
  <c r="R27" i="2"/>
  <c r="P26" i="2"/>
  <c r="K26" i="2"/>
  <c r="V26" i="2"/>
  <c r="W26" i="2"/>
  <c r="H29" i="2"/>
  <c r="M26" i="2"/>
  <c r="J27" i="2"/>
  <c r="L27" i="2"/>
  <c r="N27" i="2" s="1"/>
  <c r="F27" i="2"/>
  <c r="U27" i="2"/>
  <c r="O27" i="2"/>
  <c r="I27" i="2"/>
  <c r="K27" i="2" s="1"/>
  <c r="A28" i="2"/>
  <c r="D19" i="4"/>
  <c r="C49" i="4"/>
  <c r="C51" i="4" s="1"/>
  <c r="E28" i="2" l="1"/>
  <c r="D28" i="2"/>
  <c r="C28" i="2"/>
  <c r="R28" i="2"/>
  <c r="Q27" i="2"/>
  <c r="S27" i="2"/>
  <c r="T27" i="2"/>
  <c r="A29" i="2"/>
  <c r="L28" i="2"/>
  <c r="U28" i="2"/>
  <c r="O28" i="2"/>
  <c r="Q28" i="2" s="1"/>
  <c r="J28" i="2"/>
  <c r="I28" i="2"/>
  <c r="F28" i="2"/>
  <c r="V27" i="2"/>
  <c r="W27" i="2"/>
  <c r="P27" i="2"/>
  <c r="M27" i="2"/>
  <c r="H30" i="2"/>
  <c r="E75" i="4"/>
  <c r="N28" i="2" l="1"/>
  <c r="E29" i="2"/>
  <c r="R29" i="2"/>
  <c r="D29" i="2"/>
  <c r="C29" i="2"/>
  <c r="S28" i="2"/>
  <c r="T28" i="2"/>
  <c r="H31" i="2"/>
  <c r="P28" i="2"/>
  <c r="M28" i="2"/>
  <c r="K28" i="2"/>
  <c r="V28" i="2"/>
  <c r="W28" i="2"/>
  <c r="O29" i="2"/>
  <c r="J29" i="2"/>
  <c r="A30" i="2"/>
  <c r="I29" i="2"/>
  <c r="K29" i="2" s="1"/>
  <c r="U29" i="2"/>
  <c r="L29" i="2"/>
  <c r="N29" i="2" s="1"/>
  <c r="F29" i="2"/>
  <c r="S29" i="2" l="1"/>
  <c r="T29" i="2"/>
  <c r="Q29" i="2"/>
  <c r="D30" i="2"/>
  <c r="C30" i="2"/>
  <c r="R30" i="2"/>
  <c r="E30" i="2"/>
  <c r="P29" i="2"/>
  <c r="K31" i="2"/>
  <c r="H32" i="2"/>
  <c r="V29" i="2"/>
  <c r="W29" i="2"/>
  <c r="U30" i="2"/>
  <c r="I30" i="2"/>
  <c r="K30" i="2" s="1"/>
  <c r="A31" i="2"/>
  <c r="B30" i="2"/>
  <c r="J30" i="2"/>
  <c r="O30" i="2"/>
  <c r="F30" i="2"/>
  <c r="L30" i="2"/>
  <c r="N30" i="2" s="1"/>
  <c r="M29" i="2"/>
  <c r="Q30" i="2" l="1"/>
  <c r="S30" i="2"/>
  <c r="T30" i="2"/>
  <c r="D31" i="2"/>
  <c r="C31" i="2"/>
  <c r="E31" i="2"/>
  <c r="R31" i="2"/>
  <c r="O31" i="2"/>
  <c r="Q31" i="2" s="1"/>
  <c r="F31" i="2"/>
  <c r="B31" i="2"/>
  <c r="A32" i="2"/>
  <c r="I31" i="2"/>
  <c r="U31" i="2"/>
  <c r="L31" i="2"/>
  <c r="N31" i="2" s="1"/>
  <c r="J31" i="2"/>
  <c r="P30" i="2"/>
  <c r="H33" i="2"/>
  <c r="K32" i="2"/>
  <c r="M30" i="2"/>
  <c r="V30" i="2"/>
  <c r="W30" i="2"/>
  <c r="E77" i="4"/>
  <c r="F77" i="4" s="1"/>
  <c r="C56" i="4"/>
  <c r="D51" i="4"/>
  <c r="C34" i="4"/>
  <c r="C33" i="4"/>
  <c r="C17" i="4"/>
  <c r="S31" i="2" l="1"/>
  <c r="T31" i="2"/>
  <c r="E32" i="2"/>
  <c r="D32" i="2"/>
  <c r="C32" i="2"/>
  <c r="R32" i="2"/>
  <c r="D34" i="4"/>
  <c r="D42" i="4" s="1"/>
  <c r="M31" i="2"/>
  <c r="P31" i="2"/>
  <c r="U32" i="2"/>
  <c r="I32" i="2"/>
  <c r="L32" i="2"/>
  <c r="N32" i="2" s="1"/>
  <c r="F32" i="2"/>
  <c r="O32" i="2"/>
  <c r="A33" i="2"/>
  <c r="J32" i="2"/>
  <c r="B32" i="2"/>
  <c r="K33" i="2"/>
  <c r="H34" i="2"/>
  <c r="V31" i="2"/>
  <c r="W31" i="2"/>
  <c r="D17" i="4"/>
  <c r="D22" i="4"/>
  <c r="D61" i="4"/>
  <c r="E18" i="1" s="1"/>
  <c r="F40" i="4" l="1"/>
  <c r="C23" i="1" s="1"/>
  <c r="E33" i="2"/>
  <c r="R33" i="2"/>
  <c r="C33" i="2"/>
  <c r="D33" i="2"/>
  <c r="Q32" i="2"/>
  <c r="S32" i="2"/>
  <c r="T32" i="2"/>
  <c r="C24" i="1"/>
  <c r="P32" i="2"/>
  <c r="O33" i="2"/>
  <c r="F33" i="2"/>
  <c r="B33" i="2"/>
  <c r="L33" i="2"/>
  <c r="U33" i="2"/>
  <c r="A34" i="2"/>
  <c r="J33" i="2"/>
  <c r="I33" i="2"/>
  <c r="K34" i="2"/>
  <c r="H35" i="2"/>
  <c r="M32" i="2"/>
  <c r="V32" i="2"/>
  <c r="W32" i="2"/>
  <c r="D24" i="4"/>
  <c r="D44" i="4" s="1"/>
  <c r="E15" i="1" l="1"/>
  <c r="D34" i="2"/>
  <c r="C34" i="2"/>
  <c r="R34" i="2"/>
  <c r="E34" i="2"/>
  <c r="Q33" i="2"/>
  <c r="S33" i="2"/>
  <c r="T33" i="2"/>
  <c r="N33" i="2"/>
  <c r="K35" i="2"/>
  <c r="H36" i="2"/>
  <c r="V33" i="2"/>
  <c r="W33" i="2"/>
  <c r="P33" i="2"/>
  <c r="M33" i="2"/>
  <c r="U34" i="2"/>
  <c r="I34" i="2"/>
  <c r="O34" i="2"/>
  <c r="Q34" i="2" s="1"/>
  <c r="J34" i="2"/>
  <c r="A35" i="2"/>
  <c r="B34" i="2"/>
  <c r="L34" i="2"/>
  <c r="N34" i="2" s="1"/>
  <c r="F34" i="2"/>
  <c r="E19" i="1" l="1"/>
  <c r="F15" i="1"/>
  <c r="D35" i="2"/>
  <c r="C35" i="2"/>
  <c r="E35" i="2"/>
  <c r="R35" i="2"/>
  <c r="S34" i="2"/>
  <c r="T34" i="2"/>
  <c r="O35" i="2"/>
  <c r="Q35" i="2" s="1"/>
  <c r="F35" i="2"/>
  <c r="B35" i="2"/>
  <c r="U35" i="2"/>
  <c r="J35" i="2"/>
  <c r="I35" i="2"/>
  <c r="A36" i="2"/>
  <c r="L35" i="2"/>
  <c r="N35" i="2" s="1"/>
  <c r="M34" i="2"/>
  <c r="P34" i="2"/>
  <c r="V34" i="2"/>
  <c r="W34" i="2"/>
  <c r="H37" i="2"/>
  <c r="K36" i="2"/>
  <c r="F18" i="1"/>
  <c r="S35" i="2" l="1"/>
  <c r="T35" i="2"/>
  <c r="E36" i="2"/>
  <c r="D36" i="2"/>
  <c r="C36" i="2"/>
  <c r="R36" i="2"/>
  <c r="M35" i="2"/>
  <c r="U36" i="2"/>
  <c r="I36" i="2"/>
  <c r="O36" i="2"/>
  <c r="J36" i="2"/>
  <c r="A37" i="2"/>
  <c r="B36" i="2"/>
  <c r="L36" i="2"/>
  <c r="N36" i="2" s="1"/>
  <c r="F36" i="2"/>
  <c r="P35" i="2"/>
  <c r="V35" i="2"/>
  <c r="W35" i="2"/>
  <c r="K37" i="2"/>
  <c r="H38" i="2"/>
  <c r="Q36" i="2" l="1"/>
  <c r="S36" i="2"/>
  <c r="T36" i="2"/>
  <c r="E37" i="2"/>
  <c r="R37" i="2"/>
  <c r="C37" i="2"/>
  <c r="D37" i="2"/>
  <c r="P36" i="2"/>
  <c r="H39" i="2"/>
  <c r="K38" i="2"/>
  <c r="O37" i="2"/>
  <c r="Q37" i="2" s="1"/>
  <c r="F37" i="2"/>
  <c r="B37" i="2"/>
  <c r="I37" i="2"/>
  <c r="A38" i="2"/>
  <c r="L37" i="2"/>
  <c r="N37" i="2" s="1"/>
  <c r="U37" i="2"/>
  <c r="J37" i="2"/>
  <c r="M36" i="2"/>
  <c r="V36" i="2"/>
  <c r="W36" i="2"/>
  <c r="C25" i="1"/>
  <c r="D38" i="2" l="1"/>
  <c r="C38" i="2"/>
  <c r="R38" i="2"/>
  <c r="E38" i="2"/>
  <c r="S37" i="2"/>
  <c r="T37" i="2"/>
  <c r="U38" i="2"/>
  <c r="I38" i="2"/>
  <c r="A39" i="2"/>
  <c r="B38" i="2"/>
  <c r="L38" i="2"/>
  <c r="N38" i="2" s="1"/>
  <c r="F38" i="2"/>
  <c r="J38" i="2"/>
  <c r="O38" i="2"/>
  <c r="Q38" i="2" s="1"/>
  <c r="V37" i="2"/>
  <c r="W37" i="2"/>
  <c r="P37" i="2"/>
  <c r="M37" i="2"/>
  <c r="K39" i="2"/>
  <c r="C26" i="1"/>
  <c r="S38" i="2" l="1"/>
  <c r="T38" i="2"/>
  <c r="D39" i="2"/>
  <c r="C39" i="2"/>
  <c r="R39" i="2"/>
  <c r="E39" i="2"/>
  <c r="F16" i="1"/>
  <c r="F19" i="1"/>
  <c r="V38" i="2"/>
  <c r="W38" i="2"/>
  <c r="O39" i="2"/>
  <c r="F39" i="2"/>
  <c r="B39" i="2"/>
  <c r="A40" i="2"/>
  <c r="L39" i="2"/>
  <c r="U39" i="2"/>
  <c r="J39" i="2"/>
  <c r="I39" i="2"/>
  <c r="P38" i="2"/>
  <c r="M38" i="2"/>
  <c r="Q39" i="2" l="1"/>
  <c r="S39" i="2"/>
  <c r="T39" i="2"/>
  <c r="E20" i="1"/>
  <c r="F20" i="1" s="1"/>
  <c r="V39" i="2"/>
  <c r="W39" i="2"/>
  <c r="U40" i="2"/>
  <c r="I40" i="2"/>
  <c r="M40" i="2"/>
  <c r="F40" i="2"/>
  <c r="J40" i="2"/>
  <c r="A41" i="2"/>
  <c r="M39" i="2"/>
  <c r="P39" i="2"/>
  <c r="F41" i="2" l="1"/>
  <c r="M41" i="2"/>
  <c r="U41" i="2"/>
  <c r="J41" i="2"/>
  <c r="I41" i="2"/>
  <c r="A42" i="2"/>
  <c r="V40" i="2"/>
  <c r="W40" i="2"/>
  <c r="V41" i="2" l="1"/>
  <c r="W41" i="2"/>
  <c r="U42" i="2"/>
  <c r="I42" i="2"/>
  <c r="J42" i="2"/>
  <c r="F42" i="2"/>
  <c r="A43" i="2"/>
  <c r="M42" i="2"/>
  <c r="F43" i="2" l="1"/>
  <c r="U43" i="2"/>
  <c r="J43" i="2"/>
  <c r="I43" i="2"/>
  <c r="A44" i="2"/>
  <c r="M43" i="2"/>
  <c r="V42" i="2"/>
  <c r="W42" i="2"/>
  <c r="V43" i="2" l="1"/>
  <c r="W43" i="2"/>
  <c r="U44" i="2"/>
  <c r="I44" i="2"/>
  <c r="J44" i="2"/>
  <c r="F44" i="2"/>
  <c r="M44" i="2"/>
  <c r="V44" i="2" l="1"/>
  <c r="W44" i="2"/>
  <c r="E25" i="1" s="1"/>
  <c r="F23" i="1" l="1"/>
  <c r="F25" i="1"/>
</calcChain>
</file>

<file path=xl/comments1.xml><?xml version="1.0" encoding="utf-8"?>
<comments xmlns="http://schemas.openxmlformats.org/spreadsheetml/2006/main">
  <authors>
    <author>Elliot, Craig</author>
  </authors>
  <commentList>
    <comment ref="F2" authorId="0" shapeId="0">
      <text>
        <r>
          <rPr>
            <b/>
            <sz val="9"/>
            <color indexed="81"/>
            <rFont val="Tahoma"/>
            <family val="2"/>
          </rPr>
          <t>TRANSITION ONLY AVAILABLE AT FIRST ISSUE OF PASSENGER SERVICE CONTRACT.</t>
        </r>
        <r>
          <rPr>
            <sz val="9"/>
            <color indexed="81"/>
            <rFont val="Tahoma"/>
            <family val="2"/>
          </rPr>
          <t xml:space="preserve">
YES, If this was an Approved Vehicle on a New Service Contract (NSC) @ 1 October 2018.
NO, if new to a Passenger Service Contract.</t>
        </r>
      </text>
    </comment>
    <comment ref="H2" authorId="0" shapeId="0">
      <text>
        <r>
          <rPr>
            <sz val="9"/>
            <color indexed="81"/>
            <rFont val="Tahoma"/>
            <family val="2"/>
          </rPr>
          <t xml:space="preserve">Enter the current Capital Payment (ex GST) for the Approved Vehicle. You will find this on the current Schedule 4 if the vehicle is used to provide a Rural School Bus Service or on the Schedule 9 where the vehicle is used to provide a fare paying service, e.g. Urban Fringe Student Only.
</t>
        </r>
      </text>
    </comment>
    <comment ref="K2" authorId="0" shapeId="0">
      <text>
        <r>
          <rPr>
            <sz val="9"/>
            <color indexed="81"/>
            <rFont val="Tahoma"/>
            <family val="2"/>
          </rPr>
          <t xml:space="preserve">For the latest interest rate, please refer to the Commonwealth Bank Variable Base Rate – other than residential security at:
https://www.commbank.com.au/business/rates-fees.html
</t>
        </r>
      </text>
    </comment>
    <comment ref="P2" authorId="0" shapeId="0">
      <text>
        <r>
          <rPr>
            <sz val="9"/>
            <color indexed="81"/>
            <rFont val="Tahoma"/>
            <family val="2"/>
          </rPr>
          <t xml:space="preserve">This is the value (in whole $) of the Approved Vehicle that was declared when you became the Registered Operator for the purpose of vehicle registration.  if the vehicle was purchased &gt; 6 mths ago and has not been on the PSC before the value will be adjusted (Ref 12.5(c)(ii) of the BCPM-SB).
</t>
        </r>
        <r>
          <rPr>
            <sz val="9"/>
            <color indexed="10"/>
            <rFont val="Tahoma"/>
            <family val="2"/>
          </rPr>
          <t xml:space="preserve">Note: </t>
        </r>
        <r>
          <rPr>
            <b/>
            <sz val="9"/>
            <color indexed="10"/>
            <rFont val="Tahoma"/>
            <family val="2"/>
          </rPr>
          <t xml:space="preserve">This amount is exclusive of the Refurbishment Allowance. </t>
        </r>
      </text>
    </comment>
    <comment ref="V2" authorId="0" shapeId="0">
      <text>
        <r>
          <rPr>
            <sz val="9"/>
            <color indexed="81"/>
            <rFont val="Tahoma"/>
            <family val="2"/>
          </rPr>
          <t xml:space="preserve">Allowance is not available for Small or Transition vehicles and is capped at $20,000 for all other  vehicles. Claims for Additional Refurbishment must be supported by invoices from a 3rd Party  </t>
        </r>
      </text>
    </comment>
  </commentList>
</comments>
</file>

<file path=xl/sharedStrings.xml><?xml version="1.0" encoding="utf-8"?>
<sst xmlns="http://schemas.openxmlformats.org/spreadsheetml/2006/main" count="239" uniqueCount="178">
  <si>
    <t>Operator's Margin</t>
  </si>
  <si>
    <t>Wage on-costs</t>
  </si>
  <si>
    <t xml:space="preserve"> Long Service Leave </t>
  </si>
  <si>
    <t xml:space="preserve"> Superanuation</t>
  </si>
  <si>
    <t xml:space="preserve"> Workers Compensation</t>
  </si>
  <si>
    <t>NO</t>
  </si>
  <si>
    <t>Base</t>
  </si>
  <si>
    <t>With On Costs</t>
  </si>
  <si>
    <t>Admin - Casual rate, Level 4 Clerk - Clerks Private Sector Award 2010</t>
  </si>
  <si>
    <t>Inputs</t>
  </si>
  <si>
    <t>Costs (Ex GST)</t>
  </si>
  <si>
    <t>Fixed Bus Costs</t>
  </si>
  <si>
    <t xml:space="preserve">   Registration</t>
  </si>
  <si>
    <t xml:space="preserve">   MAIB</t>
  </si>
  <si>
    <t xml:space="preserve">   Comprehensive ins (Approved Vehicles)</t>
  </si>
  <si>
    <t xml:space="preserve">   Vehicle Inspection fees</t>
  </si>
  <si>
    <t>CCTV costs</t>
  </si>
  <si>
    <t xml:space="preserve">    Maint cost per bus</t>
  </si>
  <si>
    <t xml:space="preserve"> Communication Allowance (Bus to Base)</t>
  </si>
  <si>
    <t>Bus cleaning</t>
  </si>
  <si>
    <t xml:space="preserve">     Consumables/bus</t>
  </si>
  <si>
    <t xml:space="preserve">     Driver hours (cleaning)</t>
  </si>
  <si>
    <t xml:space="preserve">         Number of weeks</t>
  </si>
  <si>
    <t xml:space="preserve">         Hours per week/bus</t>
  </si>
  <si>
    <t xml:space="preserve">     Number hours</t>
  </si>
  <si>
    <t>Fire safety inspection</t>
  </si>
  <si>
    <t>Depot/garaging costs</t>
  </si>
  <si>
    <t>Training hours pa.</t>
  </si>
  <si>
    <t>Total Vehicle Fixed Costs</t>
  </si>
  <si>
    <t>Administration Costs</t>
  </si>
  <si>
    <t>Public Liability $20m</t>
  </si>
  <si>
    <t>Hours Per week</t>
  </si>
  <si>
    <t>Weeks Per Year</t>
  </si>
  <si>
    <t>Hours per year</t>
  </si>
  <si>
    <t>Hourly Rate</t>
  </si>
  <si>
    <t>Admin Wages</t>
  </si>
  <si>
    <t xml:space="preserve"> Bank &amp; Cash Handling </t>
  </si>
  <si>
    <t xml:space="preserve"> Admin Consumables</t>
  </si>
  <si>
    <t xml:space="preserve"> Office Equpt. &amp; Maintenance</t>
  </si>
  <si>
    <t xml:space="preserve"> Communication Allowance (Office)</t>
  </si>
  <si>
    <t>Total Administration Costs</t>
  </si>
  <si>
    <t>Total Fixed Costs Per Bus</t>
  </si>
  <si>
    <t>$ / Km</t>
  </si>
  <si>
    <t>Fuel Consumption per (l/km)</t>
  </si>
  <si>
    <t>Fuel Cost per litre</t>
  </si>
  <si>
    <t>Diesel Fuel Rebate</t>
  </si>
  <si>
    <t>Fuel cost per km</t>
  </si>
  <si>
    <t>DEF (AdBlue)</t>
  </si>
  <si>
    <t>Portion Fleet AdBlue</t>
  </si>
  <si>
    <t>Ad Blue Cost per litre</t>
  </si>
  <si>
    <t>Ad Blue Consumption per km</t>
  </si>
  <si>
    <t>Ad blue Cost per KM</t>
  </si>
  <si>
    <t xml:space="preserve"> Other Variable Operating Costs (per/km)</t>
  </si>
  <si>
    <t>Total Cost per KM</t>
  </si>
  <si>
    <t xml:space="preserve">  Weekday </t>
  </si>
  <si>
    <t xml:space="preserve">Driver wages (PVTA 2010, Grade 3, Casual)  </t>
  </si>
  <si>
    <t>Training Costs</t>
  </si>
  <si>
    <t xml:space="preserve">Driver Training Costs </t>
  </si>
  <si>
    <t>includes on costs</t>
  </si>
  <si>
    <t>Approved Vehicle Running Costs</t>
  </si>
  <si>
    <t>Shuttle Vehicle Running Costs</t>
  </si>
  <si>
    <t>Cost per Km</t>
  </si>
  <si>
    <t>Accounting Fees</t>
  </si>
  <si>
    <t>Required Bus Size</t>
  </si>
  <si>
    <t>Bus Capital Cost (exc GST)</t>
  </si>
  <si>
    <t>Min Age</t>
  </si>
  <si>
    <t>Maximum Purchase Age</t>
  </si>
  <si>
    <t>Out of Payment Age</t>
  </si>
  <si>
    <t xml:space="preserve">Capped Entry Value (Ex GST) </t>
  </si>
  <si>
    <t>- Refurbishment</t>
  </si>
  <si>
    <t>Capital Allowance</t>
  </si>
  <si>
    <t>Residual Value</t>
  </si>
  <si>
    <t>Annual Decrease in Value</t>
  </si>
  <si>
    <t>Cost of Finance</t>
  </si>
  <si>
    <t>Cost of Equity Capital</t>
  </si>
  <si>
    <t>% Debt Financed</t>
  </si>
  <si>
    <t>Weighted Cost of Capital</t>
  </si>
  <si>
    <t>nper</t>
  </si>
  <si>
    <t>Per Approved Vehicle required to provide the service</t>
  </si>
  <si>
    <t>pre-departure &amp; loading</t>
  </si>
  <si>
    <t>Number of Drivers</t>
  </si>
  <si>
    <t>Number of Approved Vehicles</t>
  </si>
  <si>
    <t>Fuel Region</t>
  </si>
  <si>
    <t>Fuel Step</t>
  </si>
  <si>
    <t>Contract Days</t>
  </si>
  <si>
    <t>Total Daily Shuttle Vehicle Km</t>
  </si>
  <si>
    <t>Loaded Time (Minutes)</t>
  </si>
  <si>
    <t xml:space="preserve">Total Daily Un-Loaded Bus Km </t>
  </si>
  <si>
    <t>Total Daily Loaded Bus Km</t>
  </si>
  <si>
    <t>Driver Wages</t>
  </si>
  <si>
    <t>Variable Running Allowance</t>
  </si>
  <si>
    <t>Large</t>
  </si>
  <si>
    <t>No. Approved Vehicles using DEF?</t>
  </si>
  <si>
    <t>Daily Driver Hours</t>
  </si>
  <si>
    <t>Fixed  Vehicle Allowance</t>
  </si>
  <si>
    <t>Shuttle Vehicle Allowance</t>
  </si>
  <si>
    <t>Reg No.</t>
  </si>
  <si>
    <t>Transition</t>
  </si>
  <si>
    <t>Size</t>
  </si>
  <si>
    <t>Total Annual Service Fee</t>
  </si>
  <si>
    <t>Passenger Service Contract Amounts Calculation</t>
  </si>
  <si>
    <t>Total Annual Capital Allowance</t>
  </si>
  <si>
    <t>Variable Running Allowance Per Km (Bus)</t>
  </si>
  <si>
    <t xml:space="preserve">Shuttle Vehicle Allowance Per Km </t>
  </si>
  <si>
    <t>Year of Manufacture</t>
  </si>
  <si>
    <t>Small</t>
  </si>
  <si>
    <t>Medium</t>
  </si>
  <si>
    <t>X-Large</t>
  </si>
  <si>
    <t>Artic</t>
  </si>
  <si>
    <t xml:space="preserve">   Vehicle Inspection Travel</t>
  </si>
  <si>
    <t>&lt;40Km</t>
  </si>
  <si>
    <t>Current Capital Pmt (ex GST)</t>
  </si>
  <si>
    <t>{"BrowserAndLocation":{"ConversionPath":"C:\\Users\\c-elliot\\Documents\\SpreadsheetConverter","SelectedBrowsers":[]},"SpreadsheetServer":{"Username":"","Password":"","ServerUrl":"","TestUsername":"","TestPassword":""},"ConfigureSubmitDefault":{"Email":"","Free":false,"Advanced":false,"AdvancedSecured":false,"Demo":true},"MessageBubble":{"Close":false,"TopMsg":0},"CustomizeTheme":{"Theme":"C:\\Users\\user\\AppData\\Roaming\\SpreadsheetConverter\\V8\\SupportFiles\\themes\\bootstrap\\css\\default-ssc-theme.css"},"QrSetting":{"ShowOnConversion":true},"CongratsPage":{"LastOpenedVersion":""},"WordPressPluginSetting":{"IsPluginInstalled":false},"Preferences":{"IsAdvancedSettingModelInitialize":true,"IsCaptchaInitialize":true,"IsNodeSettingInitialize":false,"IsRequiredFieldModalInitialize":true,"IsSubmitDialogModelInitialize":true,"IsToolbarButtonModelInitialize":true,"IsWizardButtonModelInitialize":true,"ReadFromHidden":false,"AdvancedSetting":null,"NodeSetting":{"LoginText":{"LoginButtonText":"Login","PageDescription":"Restricted access only","LoginErrorMessage":"Authentication failed, please check your username and password.","PlaceholderPassword":"password","PlaceholderUsername":"username / email","UserExtraMessage":""}},"Captcha":{"Heading":"Enter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 or invalid.","OkButton":"OK","DDLDefaultRequiredText":"Please Select"},"WizardButton":{"Next":"Next","Previous":"Previous","Cancel":"Cancel","Finish":"Finish"},"ToolbarButton":{"Submit":"Submit","Print":"Print","PrintAll":"Print All","Reset":"Reset","Update":"Update","Back":"Back"},"SubmitDialog":{"SubmitDialogHeading":"Submit Successful.","SubmitDialogDesc":"The form was successfully submitted.","BeforeSubmitDesc":"The form is being submitted.","OfflineHeading":"Save until online","OfflineDesc":"You are currently offline and the submit failed. Do you want to save the submit and send it later when you are online.","OfflineConfirm":"Do you want to save?","OfflineSubmitHeading":"Offline forms submit confirmation","OfflineSubmitDesc":"There are Offline form(s), which are now ready to submit in server.","OfflineSubmitConfirm":"Do you want to submit?","FailOfflineHeading":"Offline Form submit failed","FailOfflineDesc":"Unable to connect to the Internet. Please try submitting the offline forms later in internet connection.","OfflineSubmitWait":"It may take sometime to finish all submits depending on the size of offline forms and internet connection.","OfflineSubmitWaitCounter":"Left","OfflineSubmitError":"Submit error: Please try later."}},"UxPreferences":null}</t>
  </si>
  <si>
    <t>{"IsHide":false,"HiddenInExcel":false,"SheetId":-1,"Name":"Contract Amount Calc - School","Guid":"0C1LR1","Index":1,"VisibleRange":"","SheetTheme":{"TabColor":"","BodyColor":"","BodyImage":""}}</t>
  </si>
  <si>
    <t>Annual capital payments to be paid in this year (until out of payment age at same value)</t>
  </si>
  <si>
    <t xml:space="preserve">Plus Margin </t>
  </si>
  <si>
    <t>_Ctrl_1</t>
  </si>
  <si>
    <t>{"InputDetection":1,"RecalcMode":1,"Layout":0,"LayoutSamePagesHeightEnabled":false,"Theme":{"BgColor":"#FFFFFFFF","BgImage":"","InputBorderStyle":2,"AppliedTheme":""},"SmartphoneSettings":{"ViewportLock":true,"UseOldViewEngine":false,"EnableZoom":false,"EnableSwipe":false,"HideToolbar":false,"InheritBackgroundColor":false,"CheckboxFlavor":1,"ShowBubble":false},"Name":"Contract Amount Calculator - School Bus Services ","Flavor":0,"Edition":3,"CopyProtect":{"IsEnabled":false,"DomainName":""},"HideSscPoweredlogo":false,"AspnetConfig":{"BrowseUrl":"http://localhost/ssc","FileExtension":0},"NodeSecureLoginEnabled":false,"SmartphoneTheme":1,"Toolbar":{"Position":1,"IsSubmit":true,"IsPrint":true,"IsPrintAll":false,"IsReset":true,"IsUpdate":true},"ConfigureSubmit":{"IsShowCaptcha":false,"IsUseSscWebServer":true,"ReceiverCode":"","IsFreeService":false,"IsAdvanceService":false,"IsSecureEmail":false,"IsDemonstrationService":true,"AfterSuccessfulSubmit":"","AfterFailSubmit":"","AfterCancelWizard":"","IsUseOwnWebServer":false,"OwnWebServerURL":"","OwnWebServerTarget":"","SubmitTarget":0},"IgnoreBgInputCell":false,"ButtonStyle":0,"ResponsiveDesignDisabled":false,"HideLookupRange":true,"BrowserStorageEnabled":false,"RealtimeSyncEnabled":false,"GoogleAnalyticsTrackingId":"","GoogleApiKey":"","ChartSelected":3,"ChartYAxisFixed":false}</t>
  </si>
  <si>
    <t>Tier 2</t>
  </si>
  <si>
    <t xml:space="preserve">Capped Entry Value for Bus Size and Bus Age  </t>
  </si>
  <si>
    <t>Please Select</t>
  </si>
  <si>
    <t>Depot?</t>
  </si>
  <si>
    <t>Bus Details</t>
  </si>
  <si>
    <t>Service Details</t>
  </si>
  <si>
    <t>Shuttle Vehicle Used?</t>
  </si>
  <si>
    <t>Diesel Exhaust Fluid (DEF) Required for Approved Vehicles?</t>
  </si>
  <si>
    <t>Distance to Nearest Inspection Station</t>
  </si>
  <si>
    <t>Driver Time Per Hr (Inc. On-Costs)</t>
  </si>
  <si>
    <t>NOTE: These are provisional figures for bus capital allowance only and are subject to change prior to offer of Passenger Service Contract</t>
  </si>
  <si>
    <t xml:space="preserve">   4 Hour Driver Engagement Declaration Provided?</t>
  </si>
  <si>
    <t>Driver Waiting Time (Minutes)</t>
  </si>
  <si>
    <t>Annual Capital Allowance</t>
  </si>
  <si>
    <t>Annual Service Fee</t>
  </si>
  <si>
    <t>GST Exclusive</t>
  </si>
  <si>
    <t>GST Inclusive</t>
  </si>
  <si>
    <t xml:space="preserve">Capital Pmt </t>
  </si>
  <si>
    <t xml:space="preserve">Contract Amount </t>
  </si>
  <si>
    <t xml:space="preserve">Total Other Annual Capital Allowances </t>
  </si>
  <si>
    <t xml:space="preserve">Other Annual Capital Allowance </t>
  </si>
  <si>
    <t>Bus Age when added as Approved Vehicle</t>
  </si>
  <si>
    <t>Capital Investment Incentive (Medium &amp; Above)</t>
  </si>
  <si>
    <t xml:space="preserve">Bus Age when added as Approved Vehicle </t>
  </si>
  <si>
    <t>Extra Refurb Allowance Claim</t>
  </si>
  <si>
    <t>Passenger Service Type</t>
  </si>
  <si>
    <t>Wheelchair Lift</t>
  </si>
  <si>
    <t>{"IsHide":false,"HiddenInExcel":false,"SheetId":-1,"Name":"Capital - School","Guid":"88RPX6","Index":2,"VisibleRange":"","SheetTheme":{"TabColor":"","BodyColor":"","BodyImage":""}}</t>
  </si>
  <si>
    <t>{"IsHide":false,"HiddenInExcel":false,"SheetId":-1,"Name":"Sheet1","Guid":"VLMUVR","Index":4,"VisibleRange":"","SheetTheme":{"TabColor":"","BodyColor":"","BodyImage":""}}</t>
  </si>
  <si>
    <t>{"IsHide":false,"HiddenInExcel":false,"SheetId":-1,"Name":"Sheet3","Guid":"75HAC1","Index":3,"VisibleRange":"","SheetTheme":{"TabColor":"","BodyColor":"","BodyImage":""}}</t>
  </si>
  <si>
    <t>Wheelchair Lift Cost</t>
  </si>
  <si>
    <t>Automated Washing Facilities</t>
  </si>
  <si>
    <t xml:space="preserve">CCTV?  </t>
  </si>
  <si>
    <t>Other Vehicle Operating Costs Step</t>
  </si>
  <si>
    <t xml:space="preserve"> Age </t>
  </si>
  <si>
    <t>0 payments of</t>
  </si>
  <si>
    <t>Average speed (Loaded)</t>
  </si>
  <si>
    <t>3 for 2 seating (New Small Bus only)</t>
  </si>
  <si>
    <t>Transition or Novation Age = 21</t>
  </si>
  <si>
    <t>Transition or Novation Age = 22</t>
  </si>
  <si>
    <t xml:space="preserve"> Novation age = 23</t>
  </si>
  <si>
    <t xml:space="preserve"> Novation age = 24</t>
  </si>
  <si>
    <t xml:space="preserve"> Novation age = 25</t>
  </si>
  <si>
    <t>Transition &amp; Novation</t>
  </si>
  <si>
    <t>Calculation Type</t>
  </si>
  <si>
    <t>Bus Size</t>
  </si>
  <si>
    <t>Year of Purchase</t>
  </si>
  <si>
    <t>Previous Contract Type (Transition Vehicles Only)</t>
  </si>
  <si>
    <t>Bus Value for comp insurance</t>
  </si>
  <si>
    <t>Bus Value Adjustment Calculator - Use for non-transition vehicles where date of purchase is &gt; 6 months</t>
  </si>
  <si>
    <t>Original purchase price (ex GST)</t>
  </si>
  <si>
    <t>Adjusted Bus Value</t>
  </si>
  <si>
    <t>Normal</t>
  </si>
  <si>
    <t xml:space="preserve">NOTE: These are provisional allowance rates only (effective as at the Base Date (July 2018)) and are subject to change. </t>
  </si>
  <si>
    <t xml:space="preserve">Automated Washing Allowance </t>
  </si>
  <si>
    <t>Month of Purchase</t>
  </si>
  <si>
    <t>Purchase Price (ex GST)</t>
  </si>
  <si>
    <t>Bus Value Adjustment</t>
  </si>
  <si>
    <t>Correct as @ 30 June 2020</t>
  </si>
  <si>
    <t>Interest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</si>
</sst>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8" formatCode="&quot;$&quot;#,##0.00;[Red]\-&quot;$&quot;#,##0.00"/>
    <numFmt numFmtId="43" formatCode="_-* #,##0.00_-;\-* #,##0.00_-;_-* &quot;-&quot;??_-;_-@_-"/>
    <numFmt numFmtId="164" formatCode="&quot;$&quot;#,##0_);[Red]\(&quot;$&quot;#,##0\)"/>
    <numFmt numFmtId="165" formatCode="&quot;$&quot;#,##0.00_);[Red]\(&quot;$&quot;#,##0.00\)"/>
    <numFmt numFmtId="166" formatCode="_(&quot;$&quot;* #,##0.00_);_(&quot;$&quot;* \(#,##0.00\);_(&quot;$&quot;* &quot;-&quot;??_);_(@_)"/>
    <numFmt numFmtId="167" formatCode="_(* #,##0.00_);_(* \(#,##0.00\);_(* &quot;-&quot;??_);_(@_)"/>
    <numFmt numFmtId="168" formatCode="&quot;$&quot;#,##0.00"/>
    <numFmt numFmtId="169" formatCode="0.0%"/>
    <numFmt numFmtId="170" formatCode="&quot;$&quot;#,##0"/>
    <numFmt numFmtId="171" formatCode="&quot;$&quot;#,##0.000"/>
    <numFmt numFmtId="172" formatCode="&quot;$&quot;#,##0.0000"/>
    <numFmt numFmtId="173" formatCode="_-* #,##0_-;\-* #,##0_-;_-* &quot;-&quot;??_-;_-@_-"/>
    <numFmt numFmtId="174" formatCode="_(&quot;$&quot;* #,##0_);_(&quot;$&quot;* \(#,##0\);_(&quot;$&quot;* &quot;-&quot;??_);_(@_)"/>
    <numFmt numFmtId="175" formatCode="0.00000%"/>
    <numFmt numFmtId="176" formatCode="&quot;$&quot;#,##0.00;[Red]&quot;$&quot;#,##0.00"/>
    <numFmt numFmtId="177" formatCode="#,##0.0"/>
    <numFmt numFmtId="178" formatCode="0.0000%"/>
  </numFmts>
  <fonts count="38"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b/>
      <sz val="11"/>
      <color theme="1"/>
      <name val="Calibri"/>
      <family val="2"/>
      <scheme val="minor"/>
    </font>
    <font>
      <sz val="10"/>
      <name val="Arial"/>
      <family val="2"/>
    </font>
    <font>
      <sz val="10"/>
      <color rgb="FF7030A0"/>
      <name val="Arial"/>
      <family val="2"/>
    </font>
    <font>
      <i/>
      <sz val="10"/>
      <name val="Arial"/>
      <family val="2"/>
    </font>
    <font>
      <b/>
      <sz val="10"/>
      <name val="Arial"/>
      <family val="2"/>
    </font>
    <font>
      <sz val="9"/>
      <name val="Gill Sans MT"/>
      <family val="2"/>
    </font>
    <font>
      <b/>
      <sz val="11"/>
      <name val="Arial"/>
      <family val="2"/>
    </font>
    <font>
      <sz val="12"/>
      <color theme="1"/>
      <name val="Calibri"/>
      <family val="2"/>
      <scheme val="minor"/>
    </font>
    <font>
      <sz val="10"/>
      <color theme="1"/>
      <name val="Arial"/>
      <family val="2"/>
    </font>
    <font>
      <sz val="11"/>
      <color theme="4" tint="-0.249977111117893"/>
      <name val="Calibri"/>
      <family val="2"/>
      <scheme val="minor"/>
    </font>
    <font>
      <b/>
      <sz val="11"/>
      <color theme="4" tint="-0.249977111117893"/>
      <name val="Calibri"/>
      <family val="2"/>
      <scheme val="minor"/>
    </font>
    <font>
      <sz val="8"/>
      <name val="Arial"/>
      <family val="2"/>
    </font>
    <font>
      <b/>
      <sz val="12"/>
      <color theme="1"/>
      <name val="Arial"/>
      <family val="2"/>
    </font>
    <font>
      <b/>
      <i/>
      <sz val="10"/>
      <color theme="4" tint="-0.249977111117893"/>
      <name val="Arial"/>
      <family val="2"/>
    </font>
    <font>
      <b/>
      <sz val="12"/>
      <color theme="1"/>
      <name val="Calibri"/>
      <family val="2"/>
      <scheme val="minor"/>
    </font>
    <font>
      <sz val="9"/>
      <color indexed="81"/>
      <name val="Tahoma"/>
      <family val="2"/>
    </font>
    <font>
      <b/>
      <sz val="13"/>
      <color theme="1"/>
      <name val="Calibri"/>
      <family val="2"/>
      <scheme val="minor"/>
    </font>
    <font>
      <b/>
      <sz val="11"/>
      <color theme="6" tint="-0.249977111117893"/>
      <name val="Calibri"/>
      <family val="2"/>
      <scheme val="minor"/>
    </font>
    <font>
      <sz val="11"/>
      <name val="Calibri"/>
      <family val="2"/>
      <scheme val="minor"/>
    </font>
    <font>
      <sz val="9"/>
      <color indexed="10"/>
      <name val="Tahoma"/>
      <family val="2"/>
    </font>
    <font>
      <b/>
      <sz val="11"/>
      <color theme="4" tint="-0.499984740745262"/>
      <name val="Calibri"/>
      <family val="2"/>
      <scheme val="minor"/>
    </font>
    <font>
      <b/>
      <sz val="9"/>
      <color indexed="81"/>
      <name val="Tahoma"/>
      <family val="2"/>
    </font>
    <font>
      <b/>
      <sz val="11"/>
      <name val="Calibri"/>
      <family val="2"/>
      <scheme val="minor"/>
    </font>
    <font>
      <b/>
      <sz val="12"/>
      <name val="Calibri"/>
      <family val="2"/>
      <scheme val="minor"/>
    </font>
    <font>
      <b/>
      <sz val="9"/>
      <color indexed="10"/>
      <name val="Tahoma"/>
      <family val="2"/>
    </font>
    <font>
      <b/>
      <sz val="10"/>
      <color theme="4" tint="-0.499984740745262"/>
      <name val="Calibri"/>
      <family val="2"/>
      <scheme val="minor"/>
    </font>
    <font>
      <sz val="12"/>
      <color rgb="FFFF0000"/>
      <name val="Calibri"/>
      <family val="2"/>
      <scheme val="minor"/>
    </font>
    <font>
      <sz val="10"/>
      <color rgb="FFFF0000"/>
      <name val="Arial"/>
      <family val="2"/>
    </font>
    <font>
      <b/>
      <sz val="12"/>
      <color theme="4" tint="-0.249977111117893"/>
      <name val="Calibri"/>
      <family val="2"/>
      <scheme val="minor"/>
    </font>
    <font>
      <sz val="12"/>
      <color theme="4" tint="-0.249977111117893"/>
      <name val="Calibri"/>
      <family val="2"/>
      <scheme val="minor"/>
    </font>
    <font>
      <sz val="11"/>
      <color theme="0" tint="-4.9989318521683403E-2"/>
      <name val="Calibri"/>
      <family val="2"/>
      <scheme val="minor"/>
    </font>
    <font>
      <sz val="8"/>
      <color theme="4"/>
      <name val="Calibri"/>
      <family val="2"/>
      <scheme val="minor"/>
    </font>
    <font>
      <sz val="12"/>
      <color theme="0"/>
      <name val="Calibri"/>
      <family val="2"/>
      <scheme val="minor"/>
    </font>
    <font>
      <sz val="10"/>
      <color theme="0"/>
      <name val="Arial"/>
      <family val="2"/>
    </font>
  </fonts>
  <fills count="16">
    <fill>
      <patternFill patternType="none"/>
    </fill>
    <fill>
      <patternFill patternType="gray125"/>
    </fill>
    <fill>
      <patternFill patternType="solid">
        <fgColor rgb="FFC6EFCE"/>
      </patternFill>
    </fill>
    <fill>
      <patternFill patternType="solid">
        <fgColor rgb="FFFFC7CE"/>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5" tint="0.39997558519241921"/>
        <bgColor indexed="64"/>
      </patternFill>
    </fill>
  </fills>
  <borders count="23">
    <border>
      <left/>
      <right/>
      <top/>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11" fillId="0" borderId="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cellStyleXfs>
  <cellXfs count="298">
    <xf numFmtId="0" fontId="0" fillId="0" borderId="0" xfId="0"/>
    <xf numFmtId="0" fontId="0" fillId="0" borderId="0" xfId="0" applyFill="1"/>
    <xf numFmtId="168" fontId="0" fillId="0" borderId="0" xfId="0" applyNumberFormat="1" applyFill="1" applyAlignment="1">
      <alignment horizontal="center"/>
    </xf>
    <xf numFmtId="168" fontId="0" fillId="0" borderId="0" xfId="0" applyNumberFormat="1" applyFill="1"/>
    <xf numFmtId="0" fontId="5" fillId="0" borderId="0" xfId="0" applyFont="1" applyFill="1"/>
    <xf numFmtId="0" fontId="5" fillId="0" borderId="0" xfId="0" applyFont="1" applyFill="1" applyAlignment="1">
      <alignment horizontal="left" indent="1"/>
    </xf>
    <xf numFmtId="0" fontId="5" fillId="0" borderId="0" xfId="0" applyFont="1" applyFill="1" applyAlignment="1">
      <alignment horizontal="left"/>
    </xf>
    <xf numFmtId="169" fontId="0" fillId="0" borderId="1" xfId="0" applyNumberFormat="1" applyFill="1" applyBorder="1"/>
    <xf numFmtId="9" fontId="0" fillId="0" borderId="0" xfId="0" applyNumberFormat="1" applyFill="1" applyBorder="1"/>
    <xf numFmtId="0" fontId="7" fillId="0" borderId="0" xfId="0" applyFont="1" applyFill="1"/>
    <xf numFmtId="10" fontId="0" fillId="0" borderId="0" xfId="0" applyNumberFormat="1" applyFill="1"/>
    <xf numFmtId="168" fontId="5" fillId="0" borderId="0" xfId="0" applyNumberFormat="1" applyFont="1" applyFill="1" applyAlignment="1">
      <alignment horizontal="center"/>
    </xf>
    <xf numFmtId="168" fontId="5" fillId="0" borderId="0" xfId="0" applyNumberFormat="1" applyFont="1" applyFill="1"/>
    <xf numFmtId="168" fontId="6" fillId="0" borderId="0" xfId="0" applyNumberFormat="1" applyFont="1" applyFill="1"/>
    <xf numFmtId="0" fontId="8" fillId="0" borderId="0" xfId="0" applyFont="1" applyFill="1"/>
    <xf numFmtId="168" fontId="4" fillId="4" borderId="0" xfId="0" applyNumberFormat="1" applyFont="1" applyFill="1"/>
    <xf numFmtId="170" fontId="0" fillId="0" borderId="0" xfId="0" applyNumberFormat="1" applyFill="1"/>
    <xf numFmtId="9" fontId="0" fillId="0" borderId="0" xfId="0" applyNumberFormat="1" applyFill="1"/>
    <xf numFmtId="164" fontId="5" fillId="0" borderId="0" xfId="0" applyNumberFormat="1" applyFont="1" applyFill="1"/>
    <xf numFmtId="0" fontId="0" fillId="0" borderId="0" xfId="0" applyFont="1" applyFill="1"/>
    <xf numFmtId="0" fontId="9" fillId="0" borderId="0" xfId="0" applyFont="1"/>
    <xf numFmtId="9" fontId="0" fillId="0" borderId="0" xfId="1" applyFont="1" applyFill="1"/>
    <xf numFmtId="0" fontId="5" fillId="0" borderId="0" xfId="0" applyFont="1" applyFill="1" applyBorder="1"/>
    <xf numFmtId="0" fontId="10" fillId="0" borderId="0" xfId="0" applyFont="1" applyFill="1"/>
    <xf numFmtId="1" fontId="0" fillId="0" borderId="0" xfId="0" applyNumberFormat="1" applyFill="1"/>
    <xf numFmtId="0" fontId="3" fillId="0" borderId="0" xfId="3" applyFill="1"/>
    <xf numFmtId="168" fontId="8" fillId="0" borderId="0" xfId="0" applyNumberFormat="1" applyFont="1" applyFill="1" applyAlignment="1">
      <alignment horizontal="center"/>
    </xf>
    <xf numFmtId="0" fontId="0" fillId="0" borderId="0" xfId="0" applyFill="1" applyAlignment="1">
      <alignment horizontal="right"/>
    </xf>
    <xf numFmtId="0" fontId="6" fillId="0" borderId="0" xfId="0" applyNumberFormat="1" applyFont="1" applyFill="1" applyAlignment="1">
      <alignment horizontal="right"/>
    </xf>
    <xf numFmtId="168" fontId="5" fillId="0" borderId="0" xfId="0" applyNumberFormat="1" applyFont="1" applyFill="1" applyAlignment="1">
      <alignment horizontal="right"/>
    </xf>
    <xf numFmtId="171" fontId="5" fillId="0" borderId="0" xfId="0" applyNumberFormat="1" applyFont="1" applyFill="1" applyAlignment="1">
      <alignment horizontal="right"/>
    </xf>
    <xf numFmtId="171" fontId="6" fillId="0" borderId="3" xfId="0" applyNumberFormat="1" applyFont="1" applyFill="1" applyBorder="1" applyAlignment="1">
      <alignment horizontal="right"/>
    </xf>
    <xf numFmtId="171" fontId="5" fillId="0" borderId="0" xfId="0" applyNumberFormat="1" applyFont="1" applyFill="1" applyAlignment="1">
      <alignment horizontal="center"/>
    </xf>
    <xf numFmtId="0" fontId="5" fillId="0" borderId="0" xfId="0" quotePrefix="1" applyFont="1" applyFill="1"/>
    <xf numFmtId="171" fontId="0" fillId="0" borderId="0" xfId="0" applyNumberFormat="1" applyFill="1" applyAlignment="1">
      <alignment horizontal="center"/>
    </xf>
    <xf numFmtId="165" fontId="0" fillId="0" borderId="0" xfId="0" applyNumberFormat="1" applyFill="1" applyAlignment="1">
      <alignment horizontal="right"/>
    </xf>
    <xf numFmtId="172" fontId="0" fillId="0" borderId="0" xfId="0" applyNumberFormat="1" applyFill="1" applyAlignment="1">
      <alignment horizontal="center"/>
    </xf>
    <xf numFmtId="171" fontId="4" fillId="0" borderId="0" xfId="0" applyNumberFormat="1" applyFont="1" applyFill="1" applyAlignment="1">
      <alignment horizontal="center"/>
    </xf>
    <xf numFmtId="171" fontId="6" fillId="0" borderId="1" xfId="0" applyNumberFormat="1" applyFont="1" applyFill="1" applyBorder="1" applyAlignment="1">
      <alignment horizontal="right"/>
    </xf>
    <xf numFmtId="0" fontId="11" fillId="0" borderId="0" xfId="4" applyBorder="1"/>
    <xf numFmtId="0" fontId="11" fillId="0" borderId="0" xfId="4" applyFill="1" applyBorder="1" applyAlignment="1">
      <alignment horizontal="center"/>
    </xf>
    <xf numFmtId="0" fontId="5" fillId="0" borderId="0" xfId="4" applyFont="1" applyFill="1" applyBorder="1" applyAlignment="1">
      <alignment horizontal="center"/>
    </xf>
    <xf numFmtId="170" fontId="11" fillId="0" borderId="0" xfId="4" applyNumberFormat="1" applyFill="1" applyBorder="1"/>
    <xf numFmtId="173" fontId="12" fillId="0" borderId="0" xfId="5" quotePrefix="1" applyNumberFormat="1" applyFont="1" applyFill="1" applyBorder="1"/>
    <xf numFmtId="0" fontId="11" fillId="0" borderId="0" xfId="4" applyFill="1" applyBorder="1"/>
    <xf numFmtId="0" fontId="5" fillId="5" borderId="0" xfId="0" applyFont="1" applyFill="1"/>
    <xf numFmtId="0" fontId="0" fillId="5" borderId="0" xfId="0" applyFill="1"/>
    <xf numFmtId="171" fontId="6" fillId="0" borderId="0" xfId="0" applyNumberFormat="1" applyFont="1" applyFill="1" applyBorder="1" applyAlignment="1">
      <alignment horizontal="right"/>
    </xf>
    <xf numFmtId="0" fontId="8" fillId="0" borderId="0" xfId="4" applyFont="1"/>
    <xf numFmtId="49" fontId="5" fillId="0" borderId="0" xfId="4" applyNumberFormat="1" applyFont="1"/>
    <xf numFmtId="0" fontId="5" fillId="0" borderId="0" xfId="4" applyFont="1"/>
    <xf numFmtId="0" fontId="11" fillId="0" borderId="0" xfId="4"/>
    <xf numFmtId="0" fontId="11" fillId="0" borderId="0" xfId="4" applyAlignment="1">
      <alignment horizontal="center"/>
    </xf>
    <xf numFmtId="0" fontId="11" fillId="0" borderId="4" xfId="4" applyBorder="1"/>
    <xf numFmtId="0" fontId="8" fillId="0" borderId="5" xfId="4" applyFont="1" applyFill="1" applyBorder="1" applyAlignment="1">
      <alignment horizontal="center"/>
    </xf>
    <xf numFmtId="0" fontId="8" fillId="0" borderId="6" xfId="4" applyFont="1" applyFill="1" applyBorder="1" applyAlignment="1">
      <alignment horizontal="center"/>
    </xf>
    <xf numFmtId="0" fontId="8" fillId="0" borderId="6" xfId="4" applyFont="1" applyBorder="1" applyAlignment="1">
      <alignment horizontal="center" vertical="center"/>
    </xf>
    <xf numFmtId="0" fontId="11" fillId="0" borderId="7" xfId="4" applyBorder="1" applyAlignment="1">
      <alignment horizontal="right"/>
    </xf>
    <xf numFmtId="0" fontId="5" fillId="0" borderId="8" xfId="4" applyFont="1" applyFill="1" applyBorder="1" applyAlignment="1">
      <alignment horizontal="center"/>
    </xf>
    <xf numFmtId="17" fontId="11" fillId="0" borderId="0" xfId="4" applyNumberFormat="1"/>
    <xf numFmtId="17" fontId="11" fillId="0" borderId="0" xfId="4" applyNumberFormat="1" applyAlignment="1">
      <alignment horizontal="center"/>
    </xf>
    <xf numFmtId="164" fontId="11" fillId="0" borderId="0" xfId="4" applyNumberFormat="1"/>
    <xf numFmtId="0" fontId="5" fillId="0" borderId="7" xfId="4" applyFont="1" applyBorder="1" applyAlignment="1">
      <alignment horizontal="right"/>
    </xf>
    <xf numFmtId="174" fontId="5" fillId="0" borderId="8" xfId="7" applyNumberFormat="1" applyFont="1" applyFill="1" applyBorder="1" applyAlignment="1">
      <alignment horizontal="center"/>
    </xf>
    <xf numFmtId="0" fontId="7" fillId="0" borderId="7" xfId="4" quotePrefix="1" applyFont="1" applyBorder="1" applyAlignment="1">
      <alignment horizontal="right"/>
    </xf>
    <xf numFmtId="166" fontId="11" fillId="0" borderId="0" xfId="4" applyNumberFormat="1" applyAlignment="1">
      <alignment horizontal="center"/>
    </xf>
    <xf numFmtId="10" fontId="5" fillId="0" borderId="8" xfId="1" applyNumberFormat="1" applyFont="1" applyFill="1" applyBorder="1" applyAlignment="1">
      <alignment horizontal="center"/>
    </xf>
    <xf numFmtId="174" fontId="11" fillId="0" borderId="0" xfId="4" applyNumberFormat="1"/>
    <xf numFmtId="0" fontId="11" fillId="6" borderId="7" xfId="4" applyFill="1" applyBorder="1" applyAlignment="1">
      <alignment horizontal="right"/>
    </xf>
    <xf numFmtId="9" fontId="5" fillId="0" borderId="8" xfId="1" applyNumberFormat="1" applyFont="1" applyFill="1" applyBorder="1" applyAlignment="1">
      <alignment horizontal="center"/>
    </xf>
    <xf numFmtId="0" fontId="11" fillId="0" borderId="9" xfId="4" applyBorder="1" applyAlignment="1">
      <alignment horizontal="right"/>
    </xf>
    <xf numFmtId="10" fontId="5" fillId="0" borderId="10" xfId="1" applyNumberFormat="1" applyFont="1" applyFill="1" applyBorder="1" applyAlignment="1">
      <alignment horizontal="center"/>
    </xf>
    <xf numFmtId="0" fontId="15" fillId="0" borderId="7" xfId="4" applyFont="1" applyFill="1" applyBorder="1" applyAlignment="1">
      <alignment horizontal="left"/>
    </xf>
    <xf numFmtId="0" fontId="11" fillId="0" borderId="0" xfId="4" applyFill="1"/>
    <xf numFmtId="0" fontId="15" fillId="0" borderId="0" xfId="4" applyFont="1" applyFill="1" applyBorder="1" applyAlignment="1">
      <alignment horizontal="left"/>
    </xf>
    <xf numFmtId="0" fontId="6" fillId="0" borderId="0" xfId="4" applyFont="1"/>
    <xf numFmtId="0" fontId="6" fillId="0" borderId="0" xfId="4" applyFont="1" applyBorder="1" applyAlignment="1">
      <alignment horizontal="center"/>
    </xf>
    <xf numFmtId="0" fontId="16" fillId="0" borderId="0" xfId="4" applyFont="1" applyFill="1" applyBorder="1" applyAlignment="1"/>
    <xf numFmtId="0" fontId="11" fillId="0" borderId="13" xfId="4" applyBorder="1"/>
    <xf numFmtId="170" fontId="11" fillId="0" borderId="8" xfId="4" applyNumberFormat="1" applyFill="1" applyBorder="1"/>
    <xf numFmtId="0" fontId="11" fillId="0" borderId="7" xfId="4" applyFill="1" applyBorder="1" applyAlignment="1">
      <alignment horizontal="center"/>
    </xf>
    <xf numFmtId="173" fontId="12" fillId="0" borderId="7" xfId="6" quotePrefix="1" applyNumberFormat="1" applyFont="1" applyFill="1" applyBorder="1"/>
    <xf numFmtId="0" fontId="11" fillId="0" borderId="13" xfId="4" applyFill="1" applyBorder="1"/>
    <xf numFmtId="0" fontId="11" fillId="0" borderId="14" xfId="4" applyBorder="1"/>
    <xf numFmtId="0" fontId="5" fillId="0" borderId="11" xfId="4" applyFont="1" applyFill="1" applyBorder="1" applyAlignment="1">
      <alignment horizontal="center"/>
    </xf>
    <xf numFmtId="168" fontId="11" fillId="0" borderId="0" xfId="4" applyNumberFormat="1" applyBorder="1"/>
    <xf numFmtId="0" fontId="11" fillId="0" borderId="0" xfId="4" applyFill="1" applyAlignment="1">
      <alignment horizontal="center"/>
    </xf>
    <xf numFmtId="2" fontId="11" fillId="0" borderId="0" xfId="4" applyNumberFormat="1" applyAlignment="1">
      <alignment horizontal="center"/>
    </xf>
    <xf numFmtId="0" fontId="11" fillId="7" borderId="0" xfId="4" applyFill="1"/>
    <xf numFmtId="0" fontId="11" fillId="7" borderId="0" xfId="4" applyFill="1" applyAlignment="1">
      <alignment horizontal="center"/>
    </xf>
    <xf numFmtId="0" fontId="0" fillId="0" borderId="0" xfId="0" applyAlignment="1">
      <alignment horizontal="left" indent="1"/>
    </xf>
    <xf numFmtId="0" fontId="0" fillId="0" borderId="0" xfId="0" applyAlignment="1"/>
    <xf numFmtId="0" fontId="7" fillId="5" borderId="0" xfId="0" applyFont="1" applyFill="1"/>
    <xf numFmtId="4" fontId="0" fillId="5" borderId="0" xfId="0" applyNumberFormat="1" applyFill="1"/>
    <xf numFmtId="0" fontId="5" fillId="5" borderId="0" xfId="0" applyFont="1" applyFill="1" applyAlignment="1">
      <alignment horizontal="left" indent="1"/>
    </xf>
    <xf numFmtId="3" fontId="0" fillId="5" borderId="0" xfId="0" applyNumberFormat="1" applyFill="1"/>
    <xf numFmtId="168" fontId="0" fillId="5" borderId="0" xfId="0" applyNumberFormat="1" applyFill="1"/>
    <xf numFmtId="170" fontId="0" fillId="5" borderId="0" xfId="0" applyNumberFormat="1" applyFill="1"/>
    <xf numFmtId="0" fontId="8" fillId="5" borderId="0" xfId="0" applyFont="1" applyFill="1"/>
    <xf numFmtId="0" fontId="0" fillId="5" borderId="0" xfId="0" applyFill="1" applyAlignment="1">
      <alignment horizontal="left" indent="1"/>
    </xf>
    <xf numFmtId="0" fontId="6" fillId="5" borderId="0" xfId="0" applyFont="1" applyFill="1"/>
    <xf numFmtId="168" fontId="6" fillId="5" borderId="0" xfId="0" applyNumberFormat="1" applyFont="1" applyFill="1"/>
    <xf numFmtId="2" fontId="5" fillId="5" borderId="0" xfId="0" applyNumberFormat="1" applyFont="1" applyFill="1"/>
    <xf numFmtId="2" fontId="0" fillId="5" borderId="0" xfId="0" applyNumberFormat="1" applyFill="1"/>
    <xf numFmtId="0" fontId="8" fillId="4" borderId="0" xfId="0" applyFont="1" applyFill="1"/>
    <xf numFmtId="0" fontId="0" fillId="4" borderId="0" xfId="0" applyFill="1"/>
    <xf numFmtId="0" fontId="17" fillId="4" borderId="0" xfId="0" applyFont="1" applyFill="1"/>
    <xf numFmtId="168" fontId="14" fillId="4" borderId="0" xfId="0" applyNumberFormat="1" applyFont="1" applyFill="1"/>
    <xf numFmtId="0" fontId="0" fillId="4" borderId="0" xfId="0" applyFill="1" applyAlignment="1">
      <alignment horizontal="center" vertical="center"/>
    </xf>
    <xf numFmtId="0" fontId="4" fillId="4" borderId="0" xfId="0" applyFont="1" applyFill="1" applyAlignment="1">
      <alignment horizontal="center" vertical="center"/>
    </xf>
    <xf numFmtId="168" fontId="13" fillId="4" borderId="0" xfId="0" applyNumberFormat="1" applyFont="1" applyFill="1" applyAlignment="1">
      <alignment horizontal="center" vertical="center"/>
    </xf>
    <xf numFmtId="0" fontId="0" fillId="4" borderId="0" xfId="0" applyFont="1" applyFill="1" applyAlignment="1">
      <alignment horizontal="center" vertical="center"/>
    </xf>
    <xf numFmtId="168" fontId="18" fillId="9" borderId="0" xfId="0" applyNumberFormat="1" applyFont="1" applyFill="1" applyBorder="1" applyAlignment="1">
      <alignment horizontal="left"/>
    </xf>
    <xf numFmtId="0" fontId="17" fillId="10" borderId="18" xfId="0" applyFont="1" applyFill="1" applyBorder="1"/>
    <xf numFmtId="171" fontId="14" fillId="10" borderId="19" xfId="0" applyNumberFormat="1" applyFont="1" applyFill="1" applyBorder="1"/>
    <xf numFmtId="168" fontId="14" fillId="10" borderId="19" xfId="0" applyNumberFormat="1" applyFont="1" applyFill="1" applyBorder="1"/>
    <xf numFmtId="3" fontId="14" fillId="10" borderId="19" xfId="0" applyNumberFormat="1" applyFont="1" applyFill="1" applyBorder="1"/>
    <xf numFmtId="0" fontId="17" fillId="10" borderId="20" xfId="0" applyFont="1" applyFill="1" applyBorder="1"/>
    <xf numFmtId="4" fontId="14" fillId="10" borderId="22" xfId="0" applyNumberFormat="1" applyFont="1" applyFill="1" applyBorder="1"/>
    <xf numFmtId="0" fontId="0" fillId="4" borderId="18" xfId="0" applyFill="1" applyBorder="1"/>
    <xf numFmtId="0" fontId="0" fillId="4" borderId="18" xfId="0" applyFill="1" applyBorder="1" applyAlignment="1">
      <alignment horizontal="left" indent="2"/>
    </xf>
    <xf numFmtId="0" fontId="5" fillId="4" borderId="18" xfId="0" applyFont="1" applyFill="1" applyBorder="1" applyAlignment="1">
      <alignment horizontal="left" indent="2"/>
    </xf>
    <xf numFmtId="0" fontId="5" fillId="4" borderId="18" xfId="0" applyFont="1" applyFill="1" applyBorder="1" applyAlignment="1">
      <alignment horizontal="left"/>
    </xf>
    <xf numFmtId="165" fontId="0" fillId="0" borderId="0" xfId="0" applyNumberFormat="1" applyAlignment="1">
      <alignment vertical="center"/>
    </xf>
    <xf numFmtId="165" fontId="0" fillId="0" borderId="0" xfId="0" applyNumberFormat="1"/>
    <xf numFmtId="10" fontId="6" fillId="0" borderId="0" xfId="0" applyNumberFormat="1" applyFont="1" applyFill="1"/>
    <xf numFmtId="0" fontId="5" fillId="4" borderId="18" xfId="0" applyFont="1" applyFill="1" applyBorder="1"/>
    <xf numFmtId="8" fontId="11" fillId="0" borderId="0" xfId="4" applyNumberFormat="1" applyAlignment="1">
      <alignment horizontal="center"/>
    </xf>
    <xf numFmtId="0" fontId="0" fillId="0" borderId="0" xfId="0" applyAlignment="1">
      <alignment horizontal="left" vertical="center" indent="5"/>
    </xf>
    <xf numFmtId="9" fontId="11" fillId="0" borderId="0" xfId="4" applyNumberFormat="1"/>
    <xf numFmtId="175" fontId="11" fillId="0" borderId="0" xfId="4" applyNumberFormat="1" applyAlignment="1">
      <alignment horizontal="center"/>
    </xf>
    <xf numFmtId="0" fontId="4" fillId="4" borderId="0" xfId="0" applyFont="1" applyFill="1"/>
    <xf numFmtId="0" fontId="0" fillId="8" borderId="19" xfId="0" applyFill="1" applyBorder="1" applyAlignment="1" applyProtection="1">
      <alignment horizontal="center" vertical="center"/>
      <protection locked="0"/>
    </xf>
    <xf numFmtId="0" fontId="0" fillId="8" borderId="19" xfId="0" applyFont="1" applyFill="1" applyBorder="1" applyAlignment="1" applyProtection="1">
      <alignment horizontal="center" vertical="center"/>
      <protection locked="0"/>
    </xf>
    <xf numFmtId="0" fontId="0" fillId="8" borderId="0" xfId="0" applyFont="1" applyFill="1" applyBorder="1" applyAlignment="1" applyProtection="1">
      <alignment horizontal="center" vertical="center"/>
      <protection locked="0"/>
    </xf>
    <xf numFmtId="168" fontId="0" fillId="8" borderId="0" xfId="0" applyNumberFormat="1" applyFont="1" applyFill="1" applyBorder="1" applyAlignment="1" applyProtection="1">
      <alignment horizontal="center" vertical="center"/>
      <protection locked="0"/>
    </xf>
    <xf numFmtId="170" fontId="0" fillId="8" borderId="0" xfId="0" applyNumberFormat="1" applyFont="1" applyFill="1" applyBorder="1" applyAlignment="1" applyProtection="1">
      <alignment horizontal="center" vertical="center"/>
      <protection locked="0"/>
    </xf>
    <xf numFmtId="168" fontId="18" fillId="9" borderId="18" xfId="0" applyNumberFormat="1" applyFont="1" applyFill="1" applyBorder="1" applyAlignment="1">
      <alignment horizontal="center"/>
    </xf>
    <xf numFmtId="168" fontId="4" fillId="9" borderId="18" xfId="0" applyNumberFormat="1" applyFont="1" applyFill="1" applyBorder="1" applyAlignment="1">
      <alignment horizontal="center"/>
    </xf>
    <xf numFmtId="168" fontId="13" fillId="4" borderId="0" xfId="0" applyNumberFormat="1" applyFont="1" applyFill="1" applyBorder="1" applyAlignment="1">
      <alignment horizontal="center" vertical="center"/>
    </xf>
    <xf numFmtId="168" fontId="4" fillId="9" borderId="18" xfId="0" applyNumberFormat="1" applyFont="1" applyFill="1" applyBorder="1" applyAlignment="1"/>
    <xf numFmtId="168" fontId="4" fillId="9" borderId="0" xfId="0" applyNumberFormat="1" applyFont="1" applyFill="1" applyBorder="1" applyAlignment="1"/>
    <xf numFmtId="168" fontId="18" fillId="11" borderId="20" xfId="0" applyNumberFormat="1" applyFont="1" applyFill="1" applyBorder="1" applyAlignment="1"/>
    <xf numFmtId="168" fontId="18" fillId="11" borderId="21" xfId="0" applyNumberFormat="1" applyFont="1" applyFill="1" applyBorder="1" applyAlignment="1"/>
    <xf numFmtId="168" fontId="0" fillId="9" borderId="0" xfId="0" applyNumberFormat="1" applyFont="1" applyFill="1" applyBorder="1" applyAlignment="1">
      <alignment horizontal="center" vertical="center"/>
    </xf>
    <xf numFmtId="168" fontId="18" fillId="9" borderId="0" xfId="0" applyNumberFormat="1" applyFont="1" applyFill="1" applyBorder="1" applyAlignment="1"/>
    <xf numFmtId="168" fontId="18" fillId="9" borderId="19" xfId="0" applyNumberFormat="1" applyFont="1" applyFill="1" applyBorder="1" applyAlignment="1"/>
    <xf numFmtId="168" fontId="18" fillId="9" borderId="18" xfId="0" applyNumberFormat="1" applyFont="1" applyFill="1" applyBorder="1" applyAlignment="1">
      <alignment horizontal="center" vertical="center"/>
    </xf>
    <xf numFmtId="168" fontId="18" fillId="9" borderId="0" xfId="0" applyNumberFormat="1" applyFont="1" applyFill="1" applyBorder="1" applyAlignment="1">
      <alignment horizontal="center" vertical="center"/>
    </xf>
    <xf numFmtId="8" fontId="4" fillId="9" borderId="18" xfId="0" applyNumberFormat="1" applyFont="1" applyFill="1" applyBorder="1" applyAlignment="1"/>
    <xf numFmtId="8" fontId="4" fillId="9" borderId="0" xfId="0" applyNumberFormat="1" applyFont="1" applyFill="1" applyBorder="1" applyAlignment="1"/>
    <xf numFmtId="0" fontId="26" fillId="8" borderId="17" xfId="0" applyFont="1" applyFill="1" applyBorder="1" applyAlignment="1" applyProtection="1">
      <alignment horizontal="center" vertical="center" wrapText="1"/>
      <protection locked="0"/>
    </xf>
    <xf numFmtId="0" fontId="22" fillId="4" borderId="18" xfId="0" applyFont="1" applyFill="1" applyBorder="1" applyAlignment="1">
      <alignment vertical="center"/>
    </xf>
    <xf numFmtId="0" fontId="22" fillId="8" borderId="19" xfId="0" applyFont="1" applyFill="1" applyBorder="1" applyAlignment="1" applyProtection="1">
      <alignment horizontal="center" vertical="center"/>
      <protection locked="0"/>
    </xf>
    <xf numFmtId="0" fontId="5" fillId="4" borderId="20" xfId="0" applyFont="1" applyFill="1" applyBorder="1" applyAlignment="1">
      <alignment horizontal="left" indent="1"/>
    </xf>
    <xf numFmtId="0" fontId="0" fillId="8" borderId="22" xfId="0" applyFont="1" applyFill="1" applyBorder="1" applyAlignment="1" applyProtection="1">
      <alignment horizontal="center" vertical="center"/>
      <protection locked="0"/>
    </xf>
    <xf numFmtId="43" fontId="0" fillId="0" borderId="0" xfId="0" applyNumberFormat="1" applyFill="1"/>
    <xf numFmtId="43" fontId="0" fillId="5" borderId="0" xfId="0" applyNumberFormat="1" applyFill="1"/>
    <xf numFmtId="43" fontId="0" fillId="5" borderId="0" xfId="0" applyNumberFormat="1" applyFill="1" applyAlignment="1">
      <alignment horizontal="center"/>
    </xf>
    <xf numFmtId="43" fontId="0" fillId="5" borderId="2" xfId="0" applyNumberFormat="1" applyFill="1" applyBorder="1"/>
    <xf numFmtId="4" fontId="22" fillId="5" borderId="0" xfId="2" applyNumberFormat="1" applyFont="1" applyFill="1" applyBorder="1"/>
    <xf numFmtId="4" fontId="0" fillId="0" borderId="0" xfId="0" applyNumberFormat="1" applyFill="1" applyAlignment="1">
      <alignment horizontal="center"/>
    </xf>
    <xf numFmtId="4" fontId="0" fillId="0" borderId="2" xfId="0" applyNumberFormat="1" applyFill="1" applyBorder="1"/>
    <xf numFmtId="4" fontId="2" fillId="0" borderId="0" xfId="2" applyNumberFormat="1" applyFill="1" applyBorder="1"/>
    <xf numFmtId="4" fontId="0" fillId="0" borderId="1" xfId="0" applyNumberFormat="1" applyFill="1" applyBorder="1"/>
    <xf numFmtId="0" fontId="8" fillId="0" borderId="0" xfId="4" applyFont="1" applyBorder="1" applyAlignment="1">
      <alignment horizontal="center" vertical="center"/>
    </xf>
    <xf numFmtId="174" fontId="5" fillId="0" borderId="0" xfId="7" applyNumberFormat="1" applyFont="1" applyFill="1" applyBorder="1" applyAlignment="1">
      <alignment horizontal="center"/>
    </xf>
    <xf numFmtId="10" fontId="5" fillId="0" borderId="0" xfId="1" applyNumberFormat="1" applyFont="1" applyFill="1" applyBorder="1" applyAlignment="1">
      <alignment horizontal="center"/>
    </xf>
    <xf numFmtId="9" fontId="5" fillId="0" borderId="0" xfId="1" applyNumberFormat="1" applyFont="1" applyFill="1" applyBorder="1" applyAlignment="1">
      <alignment horizontal="center"/>
    </xf>
    <xf numFmtId="0" fontId="16" fillId="0" borderId="0" xfId="4" applyFont="1" applyFill="1" applyBorder="1" applyAlignment="1">
      <alignment horizontal="center"/>
    </xf>
    <xf numFmtId="0" fontId="18" fillId="0" borderId="0" xfId="4" applyFont="1"/>
    <xf numFmtId="170" fontId="18" fillId="0" borderId="8" xfId="4" applyNumberFormat="1" applyFont="1" applyFill="1" applyBorder="1"/>
    <xf numFmtId="0" fontId="27" fillId="0" borderId="0" xfId="4" applyFont="1"/>
    <xf numFmtId="168" fontId="18" fillId="9" borderId="0" xfId="0" applyNumberFormat="1" applyFont="1" applyFill="1" applyBorder="1" applyAlignment="1">
      <alignment horizontal="center"/>
    </xf>
    <xf numFmtId="168" fontId="18" fillId="9" borderId="19" xfId="0" applyNumberFormat="1" applyFont="1" applyFill="1" applyBorder="1" applyAlignment="1">
      <alignment horizontal="center"/>
    </xf>
    <xf numFmtId="0" fontId="0" fillId="8" borderId="0" xfId="0" applyFill="1" applyBorder="1" applyAlignment="1" applyProtection="1">
      <alignment horizontal="center" vertical="center"/>
      <protection locked="0"/>
    </xf>
    <xf numFmtId="176" fontId="11" fillId="0" borderId="0" xfId="4" applyNumberFormat="1" applyFill="1" applyBorder="1"/>
    <xf numFmtId="176" fontId="11" fillId="0" borderId="8" xfId="4" applyNumberFormat="1" applyFill="1" applyBorder="1"/>
    <xf numFmtId="168" fontId="5" fillId="0" borderId="8" xfId="7" applyNumberFormat="1" applyFont="1" applyFill="1" applyBorder="1" applyAlignment="1">
      <alignment horizontal="center"/>
    </xf>
    <xf numFmtId="14" fontId="0" fillId="4" borderId="0" xfId="0" applyNumberFormat="1" applyFill="1"/>
    <xf numFmtId="177" fontId="14" fillId="10" borderId="19" xfId="0" applyNumberFormat="1" applyFont="1" applyFill="1" applyBorder="1"/>
    <xf numFmtId="0" fontId="22" fillId="9" borderId="0" xfId="0" applyNumberFormat="1" applyFont="1" applyFill="1" applyBorder="1" applyAlignment="1" applyProtection="1">
      <alignment horizontal="center" vertical="center"/>
    </xf>
    <xf numFmtId="170" fontId="11" fillId="0" borderId="16" xfId="4" applyNumberFormat="1" applyFill="1" applyBorder="1"/>
    <xf numFmtId="0" fontId="11" fillId="0" borderId="16" xfId="4" applyBorder="1"/>
    <xf numFmtId="0" fontId="11" fillId="0" borderId="16" xfId="4" applyBorder="1" applyAlignment="1">
      <alignment horizontal="center"/>
    </xf>
    <xf numFmtId="0" fontId="11" fillId="0" borderId="17" xfId="4" applyBorder="1"/>
    <xf numFmtId="0" fontId="18" fillId="0" borderId="18" xfId="4" applyFont="1" applyBorder="1"/>
    <xf numFmtId="0" fontId="11" fillId="0" borderId="0" xfId="4" applyBorder="1" applyAlignment="1">
      <alignment horizontal="center"/>
    </xf>
    <xf numFmtId="0" fontId="11" fillId="0" borderId="19" xfId="4" applyBorder="1"/>
    <xf numFmtId="0" fontId="11" fillId="0" borderId="20" xfId="4" applyBorder="1"/>
    <xf numFmtId="0" fontId="11" fillId="0" borderId="21" xfId="4" applyBorder="1"/>
    <xf numFmtId="0" fontId="11" fillId="0" borderId="21" xfId="4" applyBorder="1" applyAlignment="1">
      <alignment horizontal="center"/>
    </xf>
    <xf numFmtId="0" fontId="11" fillId="0" borderId="22" xfId="4" applyBorder="1"/>
    <xf numFmtId="0" fontId="18" fillId="0" borderId="15" xfId="4" applyFont="1" applyBorder="1"/>
    <xf numFmtId="0" fontId="8" fillId="4" borderId="15" xfId="0" applyFont="1" applyFill="1" applyBorder="1" applyAlignment="1">
      <alignment vertical="center"/>
    </xf>
    <xf numFmtId="0" fontId="8" fillId="4" borderId="18" xfId="0" applyFont="1" applyFill="1" applyBorder="1" applyAlignment="1">
      <alignment vertical="center"/>
    </xf>
    <xf numFmtId="0" fontId="26" fillId="8" borderId="19" xfId="0" applyFont="1" applyFill="1" applyBorder="1" applyAlignment="1" applyProtection="1">
      <alignment horizontal="center" vertical="center" wrapText="1"/>
      <protection locked="0"/>
    </xf>
    <xf numFmtId="173" fontId="31" fillId="0" borderId="7" xfId="6" quotePrefix="1" applyNumberFormat="1" applyFont="1" applyFill="1" applyBorder="1"/>
    <xf numFmtId="0" fontId="30" fillId="0" borderId="0" xfId="4" applyFont="1" applyFill="1" applyBorder="1" applyAlignment="1">
      <alignment horizontal="center"/>
    </xf>
    <xf numFmtId="0" fontId="30" fillId="0" borderId="18" xfId="4" applyFont="1" applyBorder="1"/>
    <xf numFmtId="170" fontId="30" fillId="0" borderId="0" xfId="4" applyNumberFormat="1" applyFont="1" applyFill="1" applyBorder="1"/>
    <xf numFmtId="0" fontId="30" fillId="0" borderId="0" xfId="4" applyFont="1" applyBorder="1"/>
    <xf numFmtId="0" fontId="30" fillId="0" borderId="0" xfId="4" applyFont="1" applyBorder="1" applyAlignment="1">
      <alignment horizontal="center"/>
    </xf>
    <xf numFmtId="168" fontId="30" fillId="0" borderId="0" xfId="4" applyNumberFormat="1" applyFont="1" applyBorder="1"/>
    <xf numFmtId="168" fontId="13" fillId="4" borderId="18" xfId="0" applyNumberFormat="1" applyFont="1" applyFill="1" applyBorder="1" applyAlignment="1">
      <alignment vertical="center"/>
    </xf>
    <xf numFmtId="168" fontId="13" fillId="4" borderId="0" xfId="0" applyNumberFormat="1" applyFont="1" applyFill="1" applyBorder="1" applyAlignment="1">
      <alignment vertical="center"/>
    </xf>
    <xf numFmtId="168" fontId="13" fillId="4" borderId="0" xfId="0" applyNumberFormat="1" applyFont="1" applyFill="1" applyAlignment="1">
      <alignment vertical="center"/>
    </xf>
    <xf numFmtId="14" fontId="0" fillId="0" borderId="0" xfId="0" applyNumberFormat="1" applyAlignment="1">
      <alignment vertical="center"/>
    </xf>
    <xf numFmtId="170" fontId="0" fillId="8" borderId="0" xfId="0" applyNumberFormat="1" applyFont="1" applyFill="1" applyBorder="1" applyAlignment="1" applyProtection="1">
      <alignment horizontal="center" vertical="center"/>
    </xf>
    <xf numFmtId="0" fontId="24" fillId="8" borderId="15" xfId="0" applyFont="1" applyFill="1" applyBorder="1" applyAlignment="1" applyProtection="1">
      <alignment horizontal="center" vertical="center" wrapText="1"/>
    </xf>
    <xf numFmtId="0" fontId="24" fillId="8" borderId="16" xfId="0" applyFont="1" applyFill="1" applyBorder="1" applyAlignment="1" applyProtection="1">
      <alignment horizontal="center" vertical="center" wrapText="1"/>
    </xf>
    <xf numFmtId="0" fontId="24" fillId="9" borderId="16" xfId="0" applyFont="1" applyFill="1" applyBorder="1" applyAlignment="1" applyProtection="1">
      <alignment horizontal="center" vertical="center" wrapText="1"/>
    </xf>
    <xf numFmtId="0" fontId="29" fillId="8" borderId="16" xfId="0" applyFont="1" applyFill="1" applyBorder="1" applyAlignment="1" applyProtection="1">
      <alignment horizontal="center" vertical="center" wrapText="1"/>
    </xf>
    <xf numFmtId="0" fontId="24" fillId="9" borderId="16" xfId="0" applyFont="1" applyFill="1" applyBorder="1" applyAlignment="1">
      <alignment horizontal="center" vertical="center" wrapText="1"/>
    </xf>
    <xf numFmtId="0" fontId="24" fillId="9" borderId="17" xfId="0" applyFont="1" applyFill="1" applyBorder="1" applyAlignment="1">
      <alignment horizontal="center" vertical="center" wrapText="1"/>
    </xf>
    <xf numFmtId="0" fontId="22" fillId="8" borderId="18" xfId="0" applyFont="1" applyFill="1" applyBorder="1" applyAlignment="1" applyProtection="1">
      <alignment horizontal="center" vertical="center"/>
      <protection locked="0"/>
    </xf>
    <xf numFmtId="168" fontId="0" fillId="9" borderId="19" xfId="0" applyNumberFormat="1" applyFont="1" applyFill="1" applyBorder="1" applyAlignment="1">
      <alignment horizontal="center" vertical="center"/>
    </xf>
    <xf numFmtId="0" fontId="0" fillId="8" borderId="18" xfId="0" applyFont="1" applyFill="1" applyBorder="1" applyAlignment="1" applyProtection="1">
      <alignment horizontal="center" vertical="center"/>
      <protection locked="0"/>
    </xf>
    <xf numFmtId="0" fontId="0" fillId="8" borderId="21" xfId="0" applyFill="1" applyBorder="1" applyAlignment="1" applyProtection="1">
      <alignment horizontal="center" vertical="center"/>
      <protection locked="0"/>
    </xf>
    <xf numFmtId="170" fontId="0" fillId="8" borderId="21" xfId="0" applyNumberFormat="1" applyFont="1" applyFill="1" applyBorder="1" applyAlignment="1" applyProtection="1">
      <alignment horizontal="center" vertical="center"/>
      <protection locked="0"/>
    </xf>
    <xf numFmtId="170" fontId="0" fillId="8" borderId="21" xfId="0" applyNumberFormat="1" applyFont="1" applyFill="1" applyBorder="1" applyAlignment="1" applyProtection="1">
      <alignment horizontal="center" vertical="center"/>
    </xf>
    <xf numFmtId="168" fontId="0" fillId="9" borderId="22" xfId="0" applyNumberFormat="1" applyFont="1" applyFill="1" applyBorder="1" applyAlignment="1">
      <alignment horizontal="center" vertical="center"/>
    </xf>
    <xf numFmtId="168" fontId="0" fillId="9" borderId="21" xfId="0" applyNumberFormat="1" applyFont="1" applyFill="1" applyBorder="1" applyAlignment="1">
      <alignment horizontal="center" vertical="center"/>
    </xf>
    <xf numFmtId="0" fontId="34" fillId="4" borderId="0" xfId="0" applyNumberFormat="1" applyFont="1" applyFill="1" applyBorder="1" applyAlignment="1">
      <alignment vertical="center"/>
    </xf>
    <xf numFmtId="0" fontId="35" fillId="4" borderId="0" xfId="0" applyFont="1" applyFill="1"/>
    <xf numFmtId="170" fontId="36" fillId="0" borderId="8" xfId="4" applyNumberFormat="1" applyFont="1" applyFill="1" applyBorder="1"/>
    <xf numFmtId="170" fontId="36" fillId="0" borderId="10" xfId="4" applyNumberFormat="1" applyFont="1" applyFill="1" applyBorder="1"/>
    <xf numFmtId="173" fontId="37" fillId="0" borderId="7" xfId="6" quotePrefix="1" applyNumberFormat="1" applyFont="1" applyFill="1" applyBorder="1"/>
    <xf numFmtId="0" fontId="36" fillId="0" borderId="0" xfId="4" applyFont="1" applyFill="1" applyBorder="1" applyAlignment="1">
      <alignment horizontal="center"/>
    </xf>
    <xf numFmtId="176" fontId="36" fillId="0" borderId="8" xfId="4" applyNumberFormat="1" applyFont="1" applyFill="1" applyBorder="1"/>
    <xf numFmtId="0" fontId="37" fillId="0" borderId="0" xfId="4" applyFont="1" applyFill="1" applyBorder="1" applyAlignment="1">
      <alignment horizontal="center"/>
    </xf>
    <xf numFmtId="39" fontId="0" fillId="0" borderId="0" xfId="0" applyNumberFormat="1" applyFill="1"/>
    <xf numFmtId="168" fontId="13" fillId="4" borderId="0" xfId="0" applyNumberFormat="1" applyFont="1" applyFill="1" applyBorder="1" applyAlignment="1">
      <alignment horizontal="center" vertical="center"/>
    </xf>
    <xf numFmtId="168" fontId="18" fillId="9" borderId="0" xfId="0" applyNumberFormat="1" applyFont="1" applyFill="1" applyBorder="1" applyAlignment="1">
      <alignment horizontal="center"/>
    </xf>
    <xf numFmtId="0" fontId="24" fillId="13" borderId="16" xfId="0" applyFont="1" applyFill="1" applyBorder="1" applyAlignment="1" applyProtection="1">
      <alignment horizontal="center" vertical="center" wrapText="1"/>
    </xf>
    <xf numFmtId="0" fontId="0" fillId="13" borderId="0" xfId="0" applyNumberFormat="1" applyFont="1" applyFill="1" applyBorder="1" applyAlignment="1" applyProtection="1">
      <alignment horizontal="center" vertical="center"/>
      <protection locked="0"/>
    </xf>
    <xf numFmtId="0" fontId="0" fillId="13" borderId="0" xfId="0" applyFont="1" applyFill="1" applyBorder="1" applyAlignment="1" applyProtection="1">
      <alignment horizontal="center" vertical="center"/>
      <protection locked="0"/>
    </xf>
    <xf numFmtId="0" fontId="18" fillId="14" borderId="0" xfId="4" applyFont="1" applyFill="1" applyBorder="1" applyAlignment="1">
      <alignment wrapText="1"/>
    </xf>
    <xf numFmtId="8" fontId="11" fillId="14" borderId="0" xfId="4" applyNumberFormat="1" applyFill="1"/>
    <xf numFmtId="0" fontId="11" fillId="14" borderId="0" xfId="4" applyFill="1"/>
    <xf numFmtId="0" fontId="8" fillId="14" borderId="4" xfId="4" applyFont="1" applyFill="1" applyBorder="1" applyAlignment="1">
      <alignment horizontal="center" wrapText="1"/>
    </xf>
    <xf numFmtId="0" fontId="11" fillId="14" borderId="4" xfId="4" applyFill="1" applyBorder="1" applyAlignment="1">
      <alignment horizontal="center" vertical="top" wrapText="1"/>
    </xf>
    <xf numFmtId="0" fontId="8" fillId="14" borderId="12" xfId="4" applyFont="1" applyFill="1" applyBorder="1" applyAlignment="1">
      <alignment vertical="top"/>
    </xf>
    <xf numFmtId="0" fontId="11" fillId="14" borderId="4" xfId="4" applyFill="1" applyBorder="1" applyAlignment="1">
      <alignment horizontal="center" vertical="top"/>
    </xf>
    <xf numFmtId="0" fontId="8" fillId="14" borderId="12" xfId="4" applyFont="1" applyFill="1" applyBorder="1" applyAlignment="1">
      <alignment vertical="top" wrapText="1"/>
    </xf>
    <xf numFmtId="0" fontId="8" fillId="14" borderId="5" xfId="4" applyFont="1" applyFill="1" applyBorder="1" applyAlignment="1">
      <alignment vertical="top" wrapText="1"/>
    </xf>
    <xf numFmtId="0" fontId="8" fillId="14" borderId="6" xfId="4" applyFont="1" applyFill="1" applyBorder="1" applyAlignment="1">
      <alignment wrapText="1"/>
    </xf>
    <xf numFmtId="170" fontId="8" fillId="14" borderId="5" xfId="4" applyNumberFormat="1" applyFont="1" applyFill="1" applyBorder="1" applyAlignment="1">
      <alignment horizontal="center"/>
    </xf>
    <xf numFmtId="168" fontId="13" fillId="4" borderId="0" xfId="0" applyNumberFormat="1" applyFont="1" applyFill="1" applyBorder="1" applyAlignment="1">
      <alignment horizontal="center" vertical="center"/>
    </xf>
    <xf numFmtId="168" fontId="18" fillId="9" borderId="0" xfId="0" applyNumberFormat="1" applyFont="1" applyFill="1" applyBorder="1" applyAlignment="1">
      <alignment horizontal="center"/>
    </xf>
    <xf numFmtId="0" fontId="0" fillId="8" borderId="20" xfId="0" applyFont="1" applyFill="1" applyBorder="1" applyAlignment="1" applyProtection="1">
      <alignment horizontal="center" vertical="center"/>
      <protection locked="0"/>
    </xf>
    <xf numFmtId="0" fontId="0" fillId="8" borderId="21" xfId="0" applyFont="1" applyFill="1" applyBorder="1" applyAlignment="1" applyProtection="1">
      <alignment horizontal="center" vertical="center"/>
      <protection locked="0"/>
    </xf>
    <xf numFmtId="168" fontId="0" fillId="8" borderId="21" xfId="0" applyNumberFormat="1" applyFont="1" applyFill="1" applyBorder="1" applyAlignment="1" applyProtection="1">
      <alignment horizontal="center" vertical="center"/>
      <protection locked="0"/>
    </xf>
    <xf numFmtId="0" fontId="0" fillId="13" borderId="21" xfId="0" applyNumberFormat="1" applyFont="1" applyFill="1" applyBorder="1" applyAlignment="1" applyProtection="1">
      <alignment horizontal="center" vertical="center"/>
      <protection locked="0"/>
    </xf>
    <xf numFmtId="0" fontId="0" fillId="13" borderId="21" xfId="0" applyFont="1" applyFill="1" applyBorder="1" applyAlignment="1" applyProtection="1">
      <alignment horizontal="center" vertical="center"/>
      <protection locked="0"/>
    </xf>
    <xf numFmtId="0" fontId="22" fillId="9" borderId="21" xfId="0" applyNumberFormat="1" applyFont="1" applyFill="1" applyBorder="1" applyAlignment="1" applyProtection="1">
      <alignment horizontal="center" vertical="center"/>
    </xf>
    <xf numFmtId="0" fontId="24" fillId="15" borderId="16" xfId="0" applyFont="1" applyFill="1" applyBorder="1" applyAlignment="1" applyProtection="1">
      <alignment horizontal="center" vertical="center" wrapText="1"/>
    </xf>
    <xf numFmtId="10" fontId="0" fillId="15" borderId="0" xfId="1" applyNumberFormat="1" applyFont="1" applyFill="1" applyBorder="1" applyAlignment="1" applyProtection="1">
      <alignment horizontal="center" vertical="center"/>
      <protection locked="0"/>
    </xf>
    <xf numFmtId="10" fontId="0" fillId="15" borderId="21" xfId="1" applyNumberFormat="1" applyFont="1" applyFill="1" applyBorder="1" applyAlignment="1" applyProtection="1">
      <alignment horizontal="center" vertical="center"/>
      <protection locked="0"/>
    </xf>
    <xf numFmtId="10" fontId="13" fillId="4" borderId="0" xfId="0" applyNumberFormat="1" applyFont="1" applyFill="1" applyAlignment="1">
      <alignment vertical="center"/>
    </xf>
    <xf numFmtId="178" fontId="13" fillId="4" borderId="0" xfId="0" applyNumberFormat="1" applyFont="1" applyFill="1" applyBorder="1" applyAlignment="1">
      <alignment vertical="center"/>
    </xf>
    <xf numFmtId="170" fontId="0" fillId="9" borderId="0" xfId="0" applyNumberFormat="1" applyFont="1" applyFill="1" applyBorder="1" applyAlignment="1" applyProtection="1">
      <alignment horizontal="center" vertical="center"/>
    </xf>
    <xf numFmtId="170" fontId="0" fillId="9" borderId="21" xfId="0" applyNumberFormat="1" applyFont="1" applyFill="1" applyBorder="1" applyAlignment="1" applyProtection="1">
      <alignment horizontal="center" vertical="center"/>
    </xf>
    <xf numFmtId="168" fontId="18" fillId="9" borderId="15" xfId="0" applyNumberFormat="1" applyFont="1" applyFill="1" applyBorder="1" applyAlignment="1">
      <alignment horizontal="center"/>
    </xf>
    <xf numFmtId="168" fontId="18" fillId="9" borderId="17" xfId="0" applyNumberFormat="1" applyFont="1" applyFill="1" applyBorder="1" applyAlignment="1">
      <alignment horizontal="center"/>
    </xf>
    <xf numFmtId="168" fontId="18" fillId="9" borderId="16" xfId="0" applyNumberFormat="1" applyFont="1" applyFill="1" applyBorder="1" applyAlignment="1">
      <alignment horizontal="center"/>
    </xf>
    <xf numFmtId="168" fontId="21" fillId="9" borderId="18" xfId="0" applyNumberFormat="1" applyFont="1" applyFill="1" applyBorder="1" applyAlignment="1">
      <alignment horizontal="center" wrapText="1"/>
    </xf>
    <xf numFmtId="168" fontId="21" fillId="9" borderId="0" xfId="0" applyNumberFormat="1" applyFont="1" applyFill="1" applyBorder="1" applyAlignment="1">
      <alignment horizontal="center" wrapText="1"/>
    </xf>
    <xf numFmtId="168" fontId="21" fillId="9" borderId="19" xfId="0" applyNumberFormat="1" applyFont="1" applyFill="1" applyBorder="1" applyAlignment="1">
      <alignment horizontal="center" wrapText="1"/>
    </xf>
    <xf numFmtId="0" fontId="8" fillId="9" borderId="0" xfId="0" applyFont="1" applyFill="1" applyBorder="1" applyAlignment="1">
      <alignment horizontal="center"/>
    </xf>
    <xf numFmtId="0" fontId="8" fillId="9" borderId="19" xfId="0" applyFont="1" applyFill="1" applyBorder="1" applyAlignment="1">
      <alignment horizontal="center"/>
    </xf>
    <xf numFmtId="168" fontId="4" fillId="9" borderId="0" xfId="0" applyNumberFormat="1" applyFont="1" applyFill="1" applyBorder="1" applyAlignment="1">
      <alignment horizontal="center"/>
    </xf>
    <xf numFmtId="168" fontId="4" fillId="9" borderId="19" xfId="0" applyNumberFormat="1" applyFont="1" applyFill="1" applyBorder="1" applyAlignment="1">
      <alignment horizontal="center"/>
    </xf>
    <xf numFmtId="168" fontId="32" fillId="4" borderId="21" xfId="0" applyNumberFormat="1" applyFont="1" applyFill="1" applyBorder="1" applyAlignment="1">
      <alignment horizontal="center" vertical="center"/>
    </xf>
    <xf numFmtId="168" fontId="33" fillId="4" borderId="22" xfId="0" applyNumberFormat="1" applyFont="1" applyFill="1" applyBorder="1" applyAlignment="1">
      <alignment horizontal="center" vertical="center"/>
    </xf>
    <xf numFmtId="168" fontId="14" fillId="12" borderId="15" xfId="0" applyNumberFormat="1" applyFont="1" applyFill="1" applyBorder="1" applyAlignment="1">
      <alignment horizontal="center" vertical="center" wrapText="1"/>
    </xf>
    <xf numFmtId="168" fontId="14" fillId="12" borderId="16" xfId="0" applyNumberFormat="1" applyFont="1" applyFill="1" applyBorder="1" applyAlignment="1">
      <alignment horizontal="center" vertical="center" wrapText="1"/>
    </xf>
    <xf numFmtId="168" fontId="14" fillId="12" borderId="17" xfId="0" applyNumberFormat="1" applyFont="1" applyFill="1" applyBorder="1" applyAlignment="1">
      <alignment horizontal="center" vertical="center" wrapText="1"/>
    </xf>
    <xf numFmtId="168" fontId="14" fillId="12" borderId="18" xfId="0" applyNumberFormat="1" applyFont="1" applyFill="1" applyBorder="1" applyAlignment="1">
      <alignment horizontal="center" vertical="center" wrapText="1"/>
    </xf>
    <xf numFmtId="168" fontId="14" fillId="12" borderId="0" xfId="0" applyNumberFormat="1" applyFont="1" applyFill="1" applyBorder="1" applyAlignment="1">
      <alignment horizontal="center" vertical="center" wrapText="1"/>
    </xf>
    <xf numFmtId="168" fontId="14" fillId="12" borderId="19" xfId="0" applyNumberFormat="1" applyFont="1" applyFill="1" applyBorder="1" applyAlignment="1">
      <alignment horizontal="center" vertical="center" wrapText="1"/>
    </xf>
    <xf numFmtId="168" fontId="13" fillId="4" borderId="18" xfId="0" applyNumberFormat="1" applyFont="1" applyFill="1" applyBorder="1" applyAlignment="1">
      <alignment horizontal="center" vertical="center"/>
    </xf>
    <xf numFmtId="168" fontId="13" fillId="4" borderId="0" xfId="0" applyNumberFormat="1" applyFont="1" applyFill="1" applyBorder="1" applyAlignment="1">
      <alignment horizontal="center" vertical="center"/>
    </xf>
    <xf numFmtId="168" fontId="32" fillId="4" borderId="20" xfId="0" applyNumberFormat="1" applyFont="1" applyFill="1" applyBorder="1" applyAlignment="1">
      <alignment horizontal="center" vertical="center"/>
    </xf>
    <xf numFmtId="0" fontId="13" fillId="4" borderId="0" xfId="0" applyFont="1" applyFill="1" applyBorder="1" applyAlignment="1" applyProtection="1">
      <alignment horizontal="center" vertical="center"/>
      <protection locked="0"/>
    </xf>
    <xf numFmtId="0" fontId="13" fillId="4" borderId="19" xfId="0" applyFont="1" applyFill="1" applyBorder="1" applyAlignment="1" applyProtection="1">
      <alignment horizontal="center" vertical="center"/>
      <protection locked="0"/>
    </xf>
    <xf numFmtId="168" fontId="13" fillId="4" borderId="0" xfId="7" applyNumberFormat="1" applyFont="1" applyFill="1" applyBorder="1" applyAlignment="1" applyProtection="1">
      <alignment horizontal="center" vertical="center"/>
      <protection locked="0"/>
    </xf>
    <xf numFmtId="168" fontId="13" fillId="4" borderId="19" xfId="7" applyNumberFormat="1" applyFont="1" applyFill="1" applyBorder="1" applyAlignment="1" applyProtection="1">
      <alignment horizontal="center" vertical="center"/>
      <protection locked="0"/>
    </xf>
    <xf numFmtId="0" fontId="13" fillId="4" borderId="0" xfId="0" applyNumberFormat="1" applyFont="1" applyFill="1" applyBorder="1" applyAlignment="1" applyProtection="1">
      <alignment horizontal="center" vertical="center"/>
      <protection locked="0"/>
    </xf>
    <xf numFmtId="0" fontId="13" fillId="4" borderId="19" xfId="0" applyNumberFormat="1" applyFont="1" applyFill="1" applyBorder="1" applyAlignment="1" applyProtection="1">
      <alignment horizontal="center" vertical="center"/>
      <protection locked="0"/>
    </xf>
    <xf numFmtId="168" fontId="18" fillId="9" borderId="0" xfId="0" applyNumberFormat="1" applyFont="1" applyFill="1" applyBorder="1" applyAlignment="1">
      <alignment horizontal="center"/>
    </xf>
    <xf numFmtId="168" fontId="18" fillId="9" borderId="19" xfId="0" applyNumberFormat="1" applyFont="1" applyFill="1" applyBorder="1" applyAlignment="1">
      <alignment horizontal="center"/>
    </xf>
    <xf numFmtId="168" fontId="20" fillId="9" borderId="21" xfId="0" applyNumberFormat="1" applyFont="1" applyFill="1" applyBorder="1" applyAlignment="1">
      <alignment horizontal="center"/>
    </xf>
    <xf numFmtId="168" fontId="20" fillId="9" borderId="22" xfId="0" applyNumberFormat="1" applyFont="1" applyFill="1" applyBorder="1" applyAlignment="1">
      <alignment horizontal="center"/>
    </xf>
    <xf numFmtId="168" fontId="21" fillId="9" borderId="18" xfId="0" applyNumberFormat="1" applyFont="1" applyFill="1" applyBorder="1" applyAlignment="1">
      <alignment horizontal="center"/>
    </xf>
    <xf numFmtId="168" fontId="21" fillId="9" borderId="0" xfId="0" applyNumberFormat="1" applyFont="1" applyFill="1" applyBorder="1" applyAlignment="1">
      <alignment horizontal="center"/>
    </xf>
    <xf numFmtId="168" fontId="21" fillId="9" borderId="19" xfId="0" applyNumberFormat="1" applyFont="1" applyFill="1" applyBorder="1" applyAlignment="1">
      <alignment horizontal="center"/>
    </xf>
    <xf numFmtId="0" fontId="16" fillId="0" borderId="11" xfId="4" applyFont="1" applyFill="1" applyBorder="1" applyAlignment="1">
      <alignment horizontal="center"/>
    </xf>
  </cellXfs>
  <cellStyles count="8">
    <cellStyle name="Bad" xfId="3" builtinId="27"/>
    <cellStyle name="Comma" xfId="6" builtinId="3"/>
    <cellStyle name="Comma 2" xfId="5"/>
    <cellStyle name="Currency" xfId="7" builtinId="4"/>
    <cellStyle name="Good" xfId="2" builtinId="26"/>
    <cellStyle name="Normal" xfId="0" builtinId="0"/>
    <cellStyle name="Normal 2" xfId="4"/>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JF110"/>
  <sheetViews>
    <sheetView showGridLines="0" tabSelected="1" zoomScale="80" zoomScaleNormal="80" workbookViewId="0">
      <selection activeCell="C2" sqref="C2"/>
    </sheetView>
  </sheetViews>
  <sheetFormatPr defaultColWidth="8.81640625" defaultRowHeight="14.5" x14ac:dyDescent="0.35"/>
  <cols>
    <col min="1" max="1" width="3.26953125" style="1" customWidth="1"/>
    <col min="2" max="2" width="51.453125" style="1" customWidth="1"/>
    <col min="3" max="3" width="16.7265625" style="1" customWidth="1"/>
    <col min="4" max="4" width="3.453125" style="2" customWidth="1"/>
    <col min="5" max="5" width="13.1796875" style="3" customWidth="1"/>
    <col min="6" max="6" width="15.453125" style="1" customWidth="1"/>
    <col min="7" max="7" width="19.81640625" style="1" customWidth="1"/>
    <col min="8" max="8" width="12.7265625" style="1" customWidth="1"/>
    <col min="9" max="9" width="10.26953125" style="1" customWidth="1"/>
    <col min="10" max="11" width="9.7265625" style="1" customWidth="1"/>
    <col min="12" max="12" width="13.1796875" style="1" customWidth="1"/>
    <col min="13" max="13" width="7" customWidth="1"/>
    <col min="14" max="14" width="10.453125" customWidth="1"/>
    <col min="15" max="15" width="14.7265625" customWidth="1"/>
    <col min="16" max="17" width="12.54296875" customWidth="1"/>
    <col min="18" max="18" width="9.81640625" hidden="1" customWidth="1"/>
    <col min="19" max="19" width="9" customWidth="1"/>
    <col min="20" max="20" width="10.81640625" customWidth="1"/>
    <col min="21" max="21" width="11.54296875" customWidth="1"/>
    <col min="22" max="22" width="12.54296875" customWidth="1"/>
    <col min="23" max="23" width="14.7265625" customWidth="1"/>
    <col min="24" max="24" width="15" customWidth="1"/>
    <col min="25" max="25" width="13.26953125" hidden="1" customWidth="1"/>
    <col min="26" max="26" width="21.26953125" hidden="1" customWidth="1"/>
    <col min="27" max="27" width="15" hidden="1" customWidth="1"/>
    <col min="28" max="30" width="8.81640625" style="1" hidden="1" customWidth="1"/>
    <col min="31" max="265" width="8.81640625" style="1"/>
    <col min="266" max="266" width="51.453125" style="1" customWidth="1"/>
    <col min="267" max="267" width="14.453125" style="1" bestFit="1" customWidth="1"/>
    <col min="268" max="268" width="11.26953125" style="1" customWidth="1"/>
    <col min="269" max="269" width="18.81640625" style="1" customWidth="1"/>
    <col min="270" max="270" width="21.1796875" style="1" customWidth="1"/>
    <col min="271" max="271" width="20.54296875" style="1" customWidth="1"/>
    <col min="272" max="272" width="14.1796875" style="1" customWidth="1"/>
    <col min="273" max="273" width="21.26953125" style="1" customWidth="1"/>
    <col min="274" max="275" width="12.1796875" style="1" customWidth="1"/>
    <col min="276" max="276" width="13.54296875" style="1" bestFit="1" customWidth="1"/>
    <col min="277" max="521" width="8.81640625" style="1"/>
    <col min="522" max="522" width="51.453125" style="1" customWidth="1"/>
    <col min="523" max="523" width="14.453125" style="1" bestFit="1" customWidth="1"/>
    <col min="524" max="524" width="11.26953125" style="1" customWidth="1"/>
    <col min="525" max="525" width="18.81640625" style="1" customWidth="1"/>
    <col min="526" max="526" width="21.1796875" style="1" customWidth="1"/>
    <col min="527" max="527" width="20.54296875" style="1" customWidth="1"/>
    <col min="528" max="528" width="14.1796875" style="1" customWidth="1"/>
    <col min="529" max="529" width="21.26953125" style="1" customWidth="1"/>
    <col min="530" max="531" width="12.1796875" style="1" customWidth="1"/>
    <col min="532" max="532" width="13.54296875" style="1" bestFit="1" customWidth="1"/>
    <col min="533" max="777" width="8.81640625" style="1"/>
    <col min="778" max="778" width="51.453125" style="1" customWidth="1"/>
    <col min="779" max="779" width="14.453125" style="1" bestFit="1" customWidth="1"/>
    <col min="780" max="780" width="11.26953125" style="1" customWidth="1"/>
    <col min="781" max="781" width="18.81640625" style="1" customWidth="1"/>
    <col min="782" max="782" width="21.1796875" style="1" customWidth="1"/>
    <col min="783" max="783" width="20.54296875" style="1" customWidth="1"/>
    <col min="784" max="784" width="14.1796875" style="1" customWidth="1"/>
    <col min="785" max="785" width="21.26953125" style="1" customWidth="1"/>
    <col min="786" max="787" width="12.1796875" style="1" customWidth="1"/>
    <col min="788" max="788" width="13.54296875" style="1" bestFit="1" customWidth="1"/>
    <col min="789" max="1033" width="8.81640625" style="1"/>
    <col min="1034" max="1034" width="51.453125" style="1" customWidth="1"/>
    <col min="1035" max="1035" width="14.453125" style="1" bestFit="1" customWidth="1"/>
    <col min="1036" max="1036" width="11.26953125" style="1" customWidth="1"/>
    <col min="1037" max="1037" width="18.81640625" style="1" customWidth="1"/>
    <col min="1038" max="1038" width="21.1796875" style="1" customWidth="1"/>
    <col min="1039" max="1039" width="20.54296875" style="1" customWidth="1"/>
    <col min="1040" max="1040" width="14.1796875" style="1" customWidth="1"/>
    <col min="1041" max="1041" width="21.26953125" style="1" customWidth="1"/>
    <col min="1042" max="1043" width="12.1796875" style="1" customWidth="1"/>
    <col min="1044" max="1044" width="13.54296875" style="1" bestFit="1" customWidth="1"/>
    <col min="1045" max="1289" width="8.81640625" style="1"/>
    <col min="1290" max="1290" width="51.453125" style="1" customWidth="1"/>
    <col min="1291" max="1291" width="14.453125" style="1" bestFit="1" customWidth="1"/>
    <col min="1292" max="1292" width="11.26953125" style="1" customWidth="1"/>
    <col min="1293" max="1293" width="18.81640625" style="1" customWidth="1"/>
    <col min="1294" max="1294" width="21.1796875" style="1" customWidth="1"/>
    <col min="1295" max="1295" width="20.54296875" style="1" customWidth="1"/>
    <col min="1296" max="1296" width="14.1796875" style="1" customWidth="1"/>
    <col min="1297" max="1297" width="21.26953125" style="1" customWidth="1"/>
    <col min="1298" max="1299" width="12.1796875" style="1" customWidth="1"/>
    <col min="1300" max="1300" width="13.54296875" style="1" bestFit="1" customWidth="1"/>
    <col min="1301" max="1545" width="8.81640625" style="1"/>
    <col min="1546" max="1546" width="51.453125" style="1" customWidth="1"/>
    <col min="1547" max="1547" width="14.453125" style="1" bestFit="1" customWidth="1"/>
    <col min="1548" max="1548" width="11.26953125" style="1" customWidth="1"/>
    <col min="1549" max="1549" width="18.81640625" style="1" customWidth="1"/>
    <col min="1550" max="1550" width="21.1796875" style="1" customWidth="1"/>
    <col min="1551" max="1551" width="20.54296875" style="1" customWidth="1"/>
    <col min="1552" max="1552" width="14.1796875" style="1" customWidth="1"/>
    <col min="1553" max="1553" width="21.26953125" style="1" customWidth="1"/>
    <col min="1554" max="1555" width="12.1796875" style="1" customWidth="1"/>
    <col min="1556" max="1556" width="13.54296875" style="1" bestFit="1" customWidth="1"/>
    <col min="1557" max="1801" width="8.81640625" style="1"/>
    <col min="1802" max="1802" width="51.453125" style="1" customWidth="1"/>
    <col min="1803" max="1803" width="14.453125" style="1" bestFit="1" customWidth="1"/>
    <col min="1804" max="1804" width="11.26953125" style="1" customWidth="1"/>
    <col min="1805" max="1805" width="18.81640625" style="1" customWidth="1"/>
    <col min="1806" max="1806" width="21.1796875" style="1" customWidth="1"/>
    <col min="1807" max="1807" width="20.54296875" style="1" customWidth="1"/>
    <col min="1808" max="1808" width="14.1796875" style="1" customWidth="1"/>
    <col min="1809" max="1809" width="21.26953125" style="1" customWidth="1"/>
    <col min="1810" max="1811" width="12.1796875" style="1" customWidth="1"/>
    <col min="1812" max="1812" width="13.54296875" style="1" bestFit="1" customWidth="1"/>
    <col min="1813" max="2057" width="8.81640625" style="1"/>
    <col min="2058" max="2058" width="51.453125" style="1" customWidth="1"/>
    <col min="2059" max="2059" width="14.453125" style="1" bestFit="1" customWidth="1"/>
    <col min="2060" max="2060" width="11.26953125" style="1" customWidth="1"/>
    <col min="2061" max="2061" width="18.81640625" style="1" customWidth="1"/>
    <col min="2062" max="2062" width="21.1796875" style="1" customWidth="1"/>
    <col min="2063" max="2063" width="20.54296875" style="1" customWidth="1"/>
    <col min="2064" max="2064" width="14.1796875" style="1" customWidth="1"/>
    <col min="2065" max="2065" width="21.26953125" style="1" customWidth="1"/>
    <col min="2066" max="2067" width="12.1796875" style="1" customWidth="1"/>
    <col min="2068" max="2068" width="13.54296875" style="1" bestFit="1" customWidth="1"/>
    <col min="2069" max="2313" width="8.81640625" style="1"/>
    <col min="2314" max="2314" width="51.453125" style="1" customWidth="1"/>
    <col min="2315" max="2315" width="14.453125" style="1" bestFit="1" customWidth="1"/>
    <col min="2316" max="2316" width="11.26953125" style="1" customWidth="1"/>
    <col min="2317" max="2317" width="18.81640625" style="1" customWidth="1"/>
    <col min="2318" max="2318" width="21.1796875" style="1" customWidth="1"/>
    <col min="2319" max="2319" width="20.54296875" style="1" customWidth="1"/>
    <col min="2320" max="2320" width="14.1796875" style="1" customWidth="1"/>
    <col min="2321" max="2321" width="21.26953125" style="1" customWidth="1"/>
    <col min="2322" max="2323" width="12.1796875" style="1" customWidth="1"/>
    <col min="2324" max="2324" width="13.54296875" style="1" bestFit="1" customWidth="1"/>
    <col min="2325" max="2569" width="8.81640625" style="1"/>
    <col min="2570" max="2570" width="51.453125" style="1" customWidth="1"/>
    <col min="2571" max="2571" width="14.453125" style="1" bestFit="1" customWidth="1"/>
    <col min="2572" max="2572" width="11.26953125" style="1" customWidth="1"/>
    <col min="2573" max="2573" width="18.81640625" style="1" customWidth="1"/>
    <col min="2574" max="2574" width="21.1796875" style="1" customWidth="1"/>
    <col min="2575" max="2575" width="20.54296875" style="1" customWidth="1"/>
    <col min="2576" max="2576" width="14.1796875" style="1" customWidth="1"/>
    <col min="2577" max="2577" width="21.26953125" style="1" customWidth="1"/>
    <col min="2578" max="2579" width="12.1796875" style="1" customWidth="1"/>
    <col min="2580" max="2580" width="13.54296875" style="1" bestFit="1" customWidth="1"/>
    <col min="2581" max="2825" width="8.81640625" style="1"/>
    <col min="2826" max="2826" width="51.453125" style="1" customWidth="1"/>
    <col min="2827" max="2827" width="14.453125" style="1" bestFit="1" customWidth="1"/>
    <col min="2828" max="2828" width="11.26953125" style="1" customWidth="1"/>
    <col min="2829" max="2829" width="18.81640625" style="1" customWidth="1"/>
    <col min="2830" max="2830" width="21.1796875" style="1" customWidth="1"/>
    <col min="2831" max="2831" width="20.54296875" style="1" customWidth="1"/>
    <col min="2832" max="2832" width="14.1796875" style="1" customWidth="1"/>
    <col min="2833" max="2833" width="21.26953125" style="1" customWidth="1"/>
    <col min="2834" max="2835" width="12.1796875" style="1" customWidth="1"/>
    <col min="2836" max="2836" width="13.54296875" style="1" bestFit="1" customWidth="1"/>
    <col min="2837" max="3081" width="8.81640625" style="1"/>
    <col min="3082" max="3082" width="51.453125" style="1" customWidth="1"/>
    <col min="3083" max="3083" width="14.453125" style="1" bestFit="1" customWidth="1"/>
    <col min="3084" max="3084" width="11.26953125" style="1" customWidth="1"/>
    <col min="3085" max="3085" width="18.81640625" style="1" customWidth="1"/>
    <col min="3086" max="3086" width="21.1796875" style="1" customWidth="1"/>
    <col min="3087" max="3087" width="20.54296875" style="1" customWidth="1"/>
    <col min="3088" max="3088" width="14.1796875" style="1" customWidth="1"/>
    <col min="3089" max="3089" width="21.26953125" style="1" customWidth="1"/>
    <col min="3090" max="3091" width="12.1796875" style="1" customWidth="1"/>
    <col min="3092" max="3092" width="13.54296875" style="1" bestFit="1" customWidth="1"/>
    <col min="3093" max="3337" width="8.81640625" style="1"/>
    <col min="3338" max="3338" width="51.453125" style="1" customWidth="1"/>
    <col min="3339" max="3339" width="14.453125" style="1" bestFit="1" customWidth="1"/>
    <col min="3340" max="3340" width="11.26953125" style="1" customWidth="1"/>
    <col min="3341" max="3341" width="18.81640625" style="1" customWidth="1"/>
    <col min="3342" max="3342" width="21.1796875" style="1" customWidth="1"/>
    <col min="3343" max="3343" width="20.54296875" style="1" customWidth="1"/>
    <col min="3344" max="3344" width="14.1796875" style="1" customWidth="1"/>
    <col min="3345" max="3345" width="21.26953125" style="1" customWidth="1"/>
    <col min="3346" max="3347" width="12.1796875" style="1" customWidth="1"/>
    <col min="3348" max="3348" width="13.54296875" style="1" bestFit="1" customWidth="1"/>
    <col min="3349" max="3593" width="8.81640625" style="1"/>
    <col min="3594" max="3594" width="51.453125" style="1" customWidth="1"/>
    <col min="3595" max="3595" width="14.453125" style="1" bestFit="1" customWidth="1"/>
    <col min="3596" max="3596" width="11.26953125" style="1" customWidth="1"/>
    <col min="3597" max="3597" width="18.81640625" style="1" customWidth="1"/>
    <col min="3598" max="3598" width="21.1796875" style="1" customWidth="1"/>
    <col min="3599" max="3599" width="20.54296875" style="1" customWidth="1"/>
    <col min="3600" max="3600" width="14.1796875" style="1" customWidth="1"/>
    <col min="3601" max="3601" width="21.26953125" style="1" customWidth="1"/>
    <col min="3602" max="3603" width="12.1796875" style="1" customWidth="1"/>
    <col min="3604" max="3604" width="13.54296875" style="1" bestFit="1" customWidth="1"/>
    <col min="3605" max="3849" width="8.81640625" style="1"/>
    <col min="3850" max="3850" width="51.453125" style="1" customWidth="1"/>
    <col min="3851" max="3851" width="14.453125" style="1" bestFit="1" customWidth="1"/>
    <col min="3852" max="3852" width="11.26953125" style="1" customWidth="1"/>
    <col min="3853" max="3853" width="18.81640625" style="1" customWidth="1"/>
    <col min="3854" max="3854" width="21.1796875" style="1" customWidth="1"/>
    <col min="3855" max="3855" width="20.54296875" style="1" customWidth="1"/>
    <col min="3856" max="3856" width="14.1796875" style="1" customWidth="1"/>
    <col min="3857" max="3857" width="21.26953125" style="1" customWidth="1"/>
    <col min="3858" max="3859" width="12.1796875" style="1" customWidth="1"/>
    <col min="3860" max="3860" width="13.54296875" style="1" bestFit="1" customWidth="1"/>
    <col min="3861" max="4105" width="8.81640625" style="1"/>
    <col min="4106" max="4106" width="51.453125" style="1" customWidth="1"/>
    <col min="4107" max="4107" width="14.453125" style="1" bestFit="1" customWidth="1"/>
    <col min="4108" max="4108" width="11.26953125" style="1" customWidth="1"/>
    <col min="4109" max="4109" width="18.81640625" style="1" customWidth="1"/>
    <col min="4110" max="4110" width="21.1796875" style="1" customWidth="1"/>
    <col min="4111" max="4111" width="20.54296875" style="1" customWidth="1"/>
    <col min="4112" max="4112" width="14.1796875" style="1" customWidth="1"/>
    <col min="4113" max="4113" width="21.26953125" style="1" customWidth="1"/>
    <col min="4114" max="4115" width="12.1796875" style="1" customWidth="1"/>
    <col min="4116" max="4116" width="13.54296875" style="1" bestFit="1" customWidth="1"/>
    <col min="4117" max="4361" width="8.81640625" style="1"/>
    <col min="4362" max="4362" width="51.453125" style="1" customWidth="1"/>
    <col min="4363" max="4363" width="14.453125" style="1" bestFit="1" customWidth="1"/>
    <col min="4364" max="4364" width="11.26953125" style="1" customWidth="1"/>
    <col min="4365" max="4365" width="18.81640625" style="1" customWidth="1"/>
    <col min="4366" max="4366" width="21.1796875" style="1" customWidth="1"/>
    <col min="4367" max="4367" width="20.54296875" style="1" customWidth="1"/>
    <col min="4368" max="4368" width="14.1796875" style="1" customWidth="1"/>
    <col min="4369" max="4369" width="21.26953125" style="1" customWidth="1"/>
    <col min="4370" max="4371" width="12.1796875" style="1" customWidth="1"/>
    <col min="4372" max="4372" width="13.54296875" style="1" bestFit="1" customWidth="1"/>
    <col min="4373" max="4617" width="8.81640625" style="1"/>
    <col min="4618" max="4618" width="51.453125" style="1" customWidth="1"/>
    <col min="4619" max="4619" width="14.453125" style="1" bestFit="1" customWidth="1"/>
    <col min="4620" max="4620" width="11.26953125" style="1" customWidth="1"/>
    <col min="4621" max="4621" width="18.81640625" style="1" customWidth="1"/>
    <col min="4622" max="4622" width="21.1796875" style="1" customWidth="1"/>
    <col min="4623" max="4623" width="20.54296875" style="1" customWidth="1"/>
    <col min="4624" max="4624" width="14.1796875" style="1" customWidth="1"/>
    <col min="4625" max="4625" width="21.26953125" style="1" customWidth="1"/>
    <col min="4626" max="4627" width="12.1796875" style="1" customWidth="1"/>
    <col min="4628" max="4628" width="13.54296875" style="1" bestFit="1" customWidth="1"/>
    <col min="4629" max="4873" width="8.81640625" style="1"/>
    <col min="4874" max="4874" width="51.453125" style="1" customWidth="1"/>
    <col min="4875" max="4875" width="14.453125" style="1" bestFit="1" customWidth="1"/>
    <col min="4876" max="4876" width="11.26953125" style="1" customWidth="1"/>
    <col min="4877" max="4877" width="18.81640625" style="1" customWidth="1"/>
    <col min="4878" max="4878" width="21.1796875" style="1" customWidth="1"/>
    <col min="4879" max="4879" width="20.54296875" style="1" customWidth="1"/>
    <col min="4880" max="4880" width="14.1796875" style="1" customWidth="1"/>
    <col min="4881" max="4881" width="21.26953125" style="1" customWidth="1"/>
    <col min="4882" max="4883" width="12.1796875" style="1" customWidth="1"/>
    <col min="4884" max="4884" width="13.54296875" style="1" bestFit="1" customWidth="1"/>
    <col min="4885" max="5129" width="8.81640625" style="1"/>
    <col min="5130" max="5130" width="51.453125" style="1" customWidth="1"/>
    <col min="5131" max="5131" width="14.453125" style="1" bestFit="1" customWidth="1"/>
    <col min="5132" max="5132" width="11.26953125" style="1" customWidth="1"/>
    <col min="5133" max="5133" width="18.81640625" style="1" customWidth="1"/>
    <col min="5134" max="5134" width="21.1796875" style="1" customWidth="1"/>
    <col min="5135" max="5135" width="20.54296875" style="1" customWidth="1"/>
    <col min="5136" max="5136" width="14.1796875" style="1" customWidth="1"/>
    <col min="5137" max="5137" width="21.26953125" style="1" customWidth="1"/>
    <col min="5138" max="5139" width="12.1796875" style="1" customWidth="1"/>
    <col min="5140" max="5140" width="13.54296875" style="1" bestFit="1" customWidth="1"/>
    <col min="5141" max="5385" width="8.81640625" style="1"/>
    <col min="5386" max="5386" width="51.453125" style="1" customWidth="1"/>
    <col min="5387" max="5387" width="14.453125" style="1" bestFit="1" customWidth="1"/>
    <col min="5388" max="5388" width="11.26953125" style="1" customWidth="1"/>
    <col min="5389" max="5389" width="18.81640625" style="1" customWidth="1"/>
    <col min="5390" max="5390" width="21.1796875" style="1" customWidth="1"/>
    <col min="5391" max="5391" width="20.54296875" style="1" customWidth="1"/>
    <col min="5392" max="5392" width="14.1796875" style="1" customWidth="1"/>
    <col min="5393" max="5393" width="21.26953125" style="1" customWidth="1"/>
    <col min="5394" max="5395" width="12.1796875" style="1" customWidth="1"/>
    <col min="5396" max="5396" width="13.54296875" style="1" bestFit="1" customWidth="1"/>
    <col min="5397" max="5641" width="8.81640625" style="1"/>
    <col min="5642" max="5642" width="51.453125" style="1" customWidth="1"/>
    <col min="5643" max="5643" width="14.453125" style="1" bestFit="1" customWidth="1"/>
    <col min="5644" max="5644" width="11.26953125" style="1" customWidth="1"/>
    <col min="5645" max="5645" width="18.81640625" style="1" customWidth="1"/>
    <col min="5646" max="5646" width="21.1796875" style="1" customWidth="1"/>
    <col min="5647" max="5647" width="20.54296875" style="1" customWidth="1"/>
    <col min="5648" max="5648" width="14.1796875" style="1" customWidth="1"/>
    <col min="5649" max="5649" width="21.26953125" style="1" customWidth="1"/>
    <col min="5650" max="5651" width="12.1796875" style="1" customWidth="1"/>
    <col min="5652" max="5652" width="13.54296875" style="1" bestFit="1" customWidth="1"/>
    <col min="5653" max="5897" width="8.81640625" style="1"/>
    <col min="5898" max="5898" width="51.453125" style="1" customWidth="1"/>
    <col min="5899" max="5899" width="14.453125" style="1" bestFit="1" customWidth="1"/>
    <col min="5900" max="5900" width="11.26953125" style="1" customWidth="1"/>
    <col min="5901" max="5901" width="18.81640625" style="1" customWidth="1"/>
    <col min="5902" max="5902" width="21.1796875" style="1" customWidth="1"/>
    <col min="5903" max="5903" width="20.54296875" style="1" customWidth="1"/>
    <col min="5904" max="5904" width="14.1796875" style="1" customWidth="1"/>
    <col min="5905" max="5905" width="21.26953125" style="1" customWidth="1"/>
    <col min="5906" max="5907" width="12.1796875" style="1" customWidth="1"/>
    <col min="5908" max="5908" width="13.54296875" style="1" bestFit="1" customWidth="1"/>
    <col min="5909" max="6153" width="8.81640625" style="1"/>
    <col min="6154" max="6154" width="51.453125" style="1" customWidth="1"/>
    <col min="6155" max="6155" width="14.453125" style="1" bestFit="1" customWidth="1"/>
    <col min="6156" max="6156" width="11.26953125" style="1" customWidth="1"/>
    <col min="6157" max="6157" width="18.81640625" style="1" customWidth="1"/>
    <col min="6158" max="6158" width="21.1796875" style="1" customWidth="1"/>
    <col min="6159" max="6159" width="20.54296875" style="1" customWidth="1"/>
    <col min="6160" max="6160" width="14.1796875" style="1" customWidth="1"/>
    <col min="6161" max="6161" width="21.26953125" style="1" customWidth="1"/>
    <col min="6162" max="6163" width="12.1796875" style="1" customWidth="1"/>
    <col min="6164" max="6164" width="13.54296875" style="1" bestFit="1" customWidth="1"/>
    <col min="6165" max="6409" width="8.81640625" style="1"/>
    <col min="6410" max="6410" width="51.453125" style="1" customWidth="1"/>
    <col min="6411" max="6411" width="14.453125" style="1" bestFit="1" customWidth="1"/>
    <col min="6412" max="6412" width="11.26953125" style="1" customWidth="1"/>
    <col min="6413" max="6413" width="18.81640625" style="1" customWidth="1"/>
    <col min="6414" max="6414" width="21.1796875" style="1" customWidth="1"/>
    <col min="6415" max="6415" width="20.54296875" style="1" customWidth="1"/>
    <col min="6416" max="6416" width="14.1796875" style="1" customWidth="1"/>
    <col min="6417" max="6417" width="21.26953125" style="1" customWidth="1"/>
    <col min="6418" max="6419" width="12.1796875" style="1" customWidth="1"/>
    <col min="6420" max="6420" width="13.54296875" style="1" bestFit="1" customWidth="1"/>
    <col min="6421" max="6665" width="8.81640625" style="1"/>
    <col min="6666" max="6666" width="51.453125" style="1" customWidth="1"/>
    <col min="6667" max="6667" width="14.453125" style="1" bestFit="1" customWidth="1"/>
    <col min="6668" max="6668" width="11.26953125" style="1" customWidth="1"/>
    <col min="6669" max="6669" width="18.81640625" style="1" customWidth="1"/>
    <col min="6670" max="6670" width="21.1796875" style="1" customWidth="1"/>
    <col min="6671" max="6671" width="20.54296875" style="1" customWidth="1"/>
    <col min="6672" max="6672" width="14.1796875" style="1" customWidth="1"/>
    <col min="6673" max="6673" width="21.26953125" style="1" customWidth="1"/>
    <col min="6674" max="6675" width="12.1796875" style="1" customWidth="1"/>
    <col min="6676" max="6676" width="13.54296875" style="1" bestFit="1" customWidth="1"/>
    <col min="6677" max="6921" width="8.81640625" style="1"/>
    <col min="6922" max="6922" width="51.453125" style="1" customWidth="1"/>
    <col min="6923" max="6923" width="14.453125" style="1" bestFit="1" customWidth="1"/>
    <col min="6924" max="6924" width="11.26953125" style="1" customWidth="1"/>
    <col min="6925" max="6925" width="18.81640625" style="1" customWidth="1"/>
    <col min="6926" max="6926" width="21.1796875" style="1" customWidth="1"/>
    <col min="6927" max="6927" width="20.54296875" style="1" customWidth="1"/>
    <col min="6928" max="6928" width="14.1796875" style="1" customWidth="1"/>
    <col min="6929" max="6929" width="21.26953125" style="1" customWidth="1"/>
    <col min="6930" max="6931" width="12.1796875" style="1" customWidth="1"/>
    <col min="6932" max="6932" width="13.54296875" style="1" bestFit="1" customWidth="1"/>
    <col min="6933" max="7177" width="8.81640625" style="1"/>
    <col min="7178" max="7178" width="51.453125" style="1" customWidth="1"/>
    <col min="7179" max="7179" width="14.453125" style="1" bestFit="1" customWidth="1"/>
    <col min="7180" max="7180" width="11.26953125" style="1" customWidth="1"/>
    <col min="7181" max="7181" width="18.81640625" style="1" customWidth="1"/>
    <col min="7182" max="7182" width="21.1796875" style="1" customWidth="1"/>
    <col min="7183" max="7183" width="20.54296875" style="1" customWidth="1"/>
    <col min="7184" max="7184" width="14.1796875" style="1" customWidth="1"/>
    <col min="7185" max="7185" width="21.26953125" style="1" customWidth="1"/>
    <col min="7186" max="7187" width="12.1796875" style="1" customWidth="1"/>
    <col min="7188" max="7188" width="13.54296875" style="1" bestFit="1" customWidth="1"/>
    <col min="7189" max="7433" width="8.81640625" style="1"/>
    <col min="7434" max="7434" width="51.453125" style="1" customWidth="1"/>
    <col min="7435" max="7435" width="14.453125" style="1" bestFit="1" customWidth="1"/>
    <col min="7436" max="7436" width="11.26953125" style="1" customWidth="1"/>
    <col min="7437" max="7437" width="18.81640625" style="1" customWidth="1"/>
    <col min="7438" max="7438" width="21.1796875" style="1" customWidth="1"/>
    <col min="7439" max="7439" width="20.54296875" style="1" customWidth="1"/>
    <col min="7440" max="7440" width="14.1796875" style="1" customWidth="1"/>
    <col min="7441" max="7441" width="21.26953125" style="1" customWidth="1"/>
    <col min="7442" max="7443" width="12.1796875" style="1" customWidth="1"/>
    <col min="7444" max="7444" width="13.54296875" style="1" bestFit="1" customWidth="1"/>
    <col min="7445" max="7689" width="8.81640625" style="1"/>
    <col min="7690" max="7690" width="51.453125" style="1" customWidth="1"/>
    <col min="7691" max="7691" width="14.453125" style="1" bestFit="1" customWidth="1"/>
    <col min="7692" max="7692" width="11.26953125" style="1" customWidth="1"/>
    <col min="7693" max="7693" width="18.81640625" style="1" customWidth="1"/>
    <col min="7694" max="7694" width="21.1796875" style="1" customWidth="1"/>
    <col min="7695" max="7695" width="20.54296875" style="1" customWidth="1"/>
    <col min="7696" max="7696" width="14.1796875" style="1" customWidth="1"/>
    <col min="7697" max="7697" width="21.26953125" style="1" customWidth="1"/>
    <col min="7698" max="7699" width="12.1796875" style="1" customWidth="1"/>
    <col min="7700" max="7700" width="13.54296875" style="1" bestFit="1" customWidth="1"/>
    <col min="7701" max="7945" width="8.81640625" style="1"/>
    <col min="7946" max="7946" width="51.453125" style="1" customWidth="1"/>
    <col min="7947" max="7947" width="14.453125" style="1" bestFit="1" customWidth="1"/>
    <col min="7948" max="7948" width="11.26953125" style="1" customWidth="1"/>
    <col min="7949" max="7949" width="18.81640625" style="1" customWidth="1"/>
    <col min="7950" max="7950" width="21.1796875" style="1" customWidth="1"/>
    <col min="7951" max="7951" width="20.54296875" style="1" customWidth="1"/>
    <col min="7952" max="7952" width="14.1796875" style="1" customWidth="1"/>
    <col min="7953" max="7953" width="21.26953125" style="1" customWidth="1"/>
    <col min="7954" max="7955" width="12.1796875" style="1" customWidth="1"/>
    <col min="7956" max="7956" width="13.54296875" style="1" bestFit="1" customWidth="1"/>
    <col min="7957" max="8201" width="8.81640625" style="1"/>
    <col min="8202" max="8202" width="51.453125" style="1" customWidth="1"/>
    <col min="8203" max="8203" width="14.453125" style="1" bestFit="1" customWidth="1"/>
    <col min="8204" max="8204" width="11.26953125" style="1" customWidth="1"/>
    <col min="8205" max="8205" width="18.81640625" style="1" customWidth="1"/>
    <col min="8206" max="8206" width="21.1796875" style="1" customWidth="1"/>
    <col min="8207" max="8207" width="20.54296875" style="1" customWidth="1"/>
    <col min="8208" max="8208" width="14.1796875" style="1" customWidth="1"/>
    <col min="8209" max="8209" width="21.26953125" style="1" customWidth="1"/>
    <col min="8210" max="8211" width="12.1796875" style="1" customWidth="1"/>
    <col min="8212" max="8212" width="13.54296875" style="1" bestFit="1" customWidth="1"/>
    <col min="8213" max="8457" width="8.81640625" style="1"/>
    <col min="8458" max="8458" width="51.453125" style="1" customWidth="1"/>
    <col min="8459" max="8459" width="14.453125" style="1" bestFit="1" customWidth="1"/>
    <col min="8460" max="8460" width="11.26953125" style="1" customWidth="1"/>
    <col min="8461" max="8461" width="18.81640625" style="1" customWidth="1"/>
    <col min="8462" max="8462" width="21.1796875" style="1" customWidth="1"/>
    <col min="8463" max="8463" width="20.54296875" style="1" customWidth="1"/>
    <col min="8464" max="8464" width="14.1796875" style="1" customWidth="1"/>
    <col min="8465" max="8465" width="21.26953125" style="1" customWidth="1"/>
    <col min="8466" max="8467" width="12.1796875" style="1" customWidth="1"/>
    <col min="8468" max="8468" width="13.54296875" style="1" bestFit="1" customWidth="1"/>
    <col min="8469" max="8713" width="8.81640625" style="1"/>
    <col min="8714" max="8714" width="51.453125" style="1" customWidth="1"/>
    <col min="8715" max="8715" width="14.453125" style="1" bestFit="1" customWidth="1"/>
    <col min="8716" max="8716" width="11.26953125" style="1" customWidth="1"/>
    <col min="8717" max="8717" width="18.81640625" style="1" customWidth="1"/>
    <col min="8718" max="8718" width="21.1796875" style="1" customWidth="1"/>
    <col min="8719" max="8719" width="20.54296875" style="1" customWidth="1"/>
    <col min="8720" max="8720" width="14.1796875" style="1" customWidth="1"/>
    <col min="8721" max="8721" width="21.26953125" style="1" customWidth="1"/>
    <col min="8722" max="8723" width="12.1796875" style="1" customWidth="1"/>
    <col min="8724" max="8724" width="13.54296875" style="1" bestFit="1" customWidth="1"/>
    <col min="8725" max="8969" width="8.81640625" style="1"/>
    <col min="8970" max="8970" width="51.453125" style="1" customWidth="1"/>
    <col min="8971" max="8971" width="14.453125" style="1" bestFit="1" customWidth="1"/>
    <col min="8972" max="8972" width="11.26953125" style="1" customWidth="1"/>
    <col min="8973" max="8973" width="18.81640625" style="1" customWidth="1"/>
    <col min="8974" max="8974" width="21.1796875" style="1" customWidth="1"/>
    <col min="8975" max="8975" width="20.54296875" style="1" customWidth="1"/>
    <col min="8976" max="8976" width="14.1796875" style="1" customWidth="1"/>
    <col min="8977" max="8977" width="21.26953125" style="1" customWidth="1"/>
    <col min="8978" max="8979" width="12.1796875" style="1" customWidth="1"/>
    <col min="8980" max="8980" width="13.54296875" style="1" bestFit="1" customWidth="1"/>
    <col min="8981" max="9225" width="8.81640625" style="1"/>
    <col min="9226" max="9226" width="51.453125" style="1" customWidth="1"/>
    <col min="9227" max="9227" width="14.453125" style="1" bestFit="1" customWidth="1"/>
    <col min="9228" max="9228" width="11.26953125" style="1" customWidth="1"/>
    <col min="9229" max="9229" width="18.81640625" style="1" customWidth="1"/>
    <col min="9230" max="9230" width="21.1796875" style="1" customWidth="1"/>
    <col min="9231" max="9231" width="20.54296875" style="1" customWidth="1"/>
    <col min="9232" max="9232" width="14.1796875" style="1" customWidth="1"/>
    <col min="9233" max="9233" width="21.26953125" style="1" customWidth="1"/>
    <col min="9234" max="9235" width="12.1796875" style="1" customWidth="1"/>
    <col min="9236" max="9236" width="13.54296875" style="1" bestFit="1" customWidth="1"/>
    <col min="9237" max="9481" width="8.81640625" style="1"/>
    <col min="9482" max="9482" width="51.453125" style="1" customWidth="1"/>
    <col min="9483" max="9483" width="14.453125" style="1" bestFit="1" customWidth="1"/>
    <col min="9484" max="9484" width="11.26953125" style="1" customWidth="1"/>
    <col min="9485" max="9485" width="18.81640625" style="1" customWidth="1"/>
    <col min="9486" max="9486" width="21.1796875" style="1" customWidth="1"/>
    <col min="9487" max="9487" width="20.54296875" style="1" customWidth="1"/>
    <col min="9488" max="9488" width="14.1796875" style="1" customWidth="1"/>
    <col min="9489" max="9489" width="21.26953125" style="1" customWidth="1"/>
    <col min="9490" max="9491" width="12.1796875" style="1" customWidth="1"/>
    <col min="9492" max="9492" width="13.54296875" style="1" bestFit="1" customWidth="1"/>
    <col min="9493" max="9737" width="8.81640625" style="1"/>
    <col min="9738" max="9738" width="51.453125" style="1" customWidth="1"/>
    <col min="9739" max="9739" width="14.453125" style="1" bestFit="1" customWidth="1"/>
    <col min="9740" max="9740" width="11.26953125" style="1" customWidth="1"/>
    <col min="9741" max="9741" width="18.81640625" style="1" customWidth="1"/>
    <col min="9742" max="9742" width="21.1796875" style="1" customWidth="1"/>
    <col min="9743" max="9743" width="20.54296875" style="1" customWidth="1"/>
    <col min="9744" max="9744" width="14.1796875" style="1" customWidth="1"/>
    <col min="9745" max="9745" width="21.26953125" style="1" customWidth="1"/>
    <col min="9746" max="9747" width="12.1796875" style="1" customWidth="1"/>
    <col min="9748" max="9748" width="13.54296875" style="1" bestFit="1" customWidth="1"/>
    <col min="9749" max="9993" width="8.81640625" style="1"/>
    <col min="9994" max="9994" width="51.453125" style="1" customWidth="1"/>
    <col min="9995" max="9995" width="14.453125" style="1" bestFit="1" customWidth="1"/>
    <col min="9996" max="9996" width="11.26953125" style="1" customWidth="1"/>
    <col min="9997" max="9997" width="18.81640625" style="1" customWidth="1"/>
    <col min="9998" max="9998" width="21.1796875" style="1" customWidth="1"/>
    <col min="9999" max="9999" width="20.54296875" style="1" customWidth="1"/>
    <col min="10000" max="10000" width="14.1796875" style="1" customWidth="1"/>
    <col min="10001" max="10001" width="21.26953125" style="1" customWidth="1"/>
    <col min="10002" max="10003" width="12.1796875" style="1" customWidth="1"/>
    <col min="10004" max="10004" width="13.54296875" style="1" bestFit="1" customWidth="1"/>
    <col min="10005" max="10249" width="8.81640625" style="1"/>
    <col min="10250" max="10250" width="51.453125" style="1" customWidth="1"/>
    <col min="10251" max="10251" width="14.453125" style="1" bestFit="1" customWidth="1"/>
    <col min="10252" max="10252" width="11.26953125" style="1" customWidth="1"/>
    <col min="10253" max="10253" width="18.81640625" style="1" customWidth="1"/>
    <col min="10254" max="10254" width="21.1796875" style="1" customWidth="1"/>
    <col min="10255" max="10255" width="20.54296875" style="1" customWidth="1"/>
    <col min="10256" max="10256" width="14.1796875" style="1" customWidth="1"/>
    <col min="10257" max="10257" width="21.26953125" style="1" customWidth="1"/>
    <col min="10258" max="10259" width="12.1796875" style="1" customWidth="1"/>
    <col min="10260" max="10260" width="13.54296875" style="1" bestFit="1" customWidth="1"/>
    <col min="10261" max="10505" width="8.81640625" style="1"/>
    <col min="10506" max="10506" width="51.453125" style="1" customWidth="1"/>
    <col min="10507" max="10507" width="14.453125" style="1" bestFit="1" customWidth="1"/>
    <col min="10508" max="10508" width="11.26953125" style="1" customWidth="1"/>
    <col min="10509" max="10509" width="18.81640625" style="1" customWidth="1"/>
    <col min="10510" max="10510" width="21.1796875" style="1" customWidth="1"/>
    <col min="10511" max="10511" width="20.54296875" style="1" customWidth="1"/>
    <col min="10512" max="10512" width="14.1796875" style="1" customWidth="1"/>
    <col min="10513" max="10513" width="21.26953125" style="1" customWidth="1"/>
    <col min="10514" max="10515" width="12.1796875" style="1" customWidth="1"/>
    <col min="10516" max="10516" width="13.54296875" style="1" bestFit="1" customWidth="1"/>
    <col min="10517" max="10761" width="8.81640625" style="1"/>
    <col min="10762" max="10762" width="51.453125" style="1" customWidth="1"/>
    <col min="10763" max="10763" width="14.453125" style="1" bestFit="1" customWidth="1"/>
    <col min="10764" max="10764" width="11.26953125" style="1" customWidth="1"/>
    <col min="10765" max="10765" width="18.81640625" style="1" customWidth="1"/>
    <col min="10766" max="10766" width="21.1796875" style="1" customWidth="1"/>
    <col min="10767" max="10767" width="20.54296875" style="1" customWidth="1"/>
    <col min="10768" max="10768" width="14.1796875" style="1" customWidth="1"/>
    <col min="10769" max="10769" width="21.26953125" style="1" customWidth="1"/>
    <col min="10770" max="10771" width="12.1796875" style="1" customWidth="1"/>
    <col min="10772" max="10772" width="13.54296875" style="1" bestFit="1" customWidth="1"/>
    <col min="10773" max="11017" width="8.81640625" style="1"/>
    <col min="11018" max="11018" width="51.453125" style="1" customWidth="1"/>
    <col min="11019" max="11019" width="14.453125" style="1" bestFit="1" customWidth="1"/>
    <col min="11020" max="11020" width="11.26953125" style="1" customWidth="1"/>
    <col min="11021" max="11021" width="18.81640625" style="1" customWidth="1"/>
    <col min="11022" max="11022" width="21.1796875" style="1" customWidth="1"/>
    <col min="11023" max="11023" width="20.54296875" style="1" customWidth="1"/>
    <col min="11024" max="11024" width="14.1796875" style="1" customWidth="1"/>
    <col min="11025" max="11025" width="21.26953125" style="1" customWidth="1"/>
    <col min="11026" max="11027" width="12.1796875" style="1" customWidth="1"/>
    <col min="11028" max="11028" width="13.54296875" style="1" bestFit="1" customWidth="1"/>
    <col min="11029" max="11273" width="8.81640625" style="1"/>
    <col min="11274" max="11274" width="51.453125" style="1" customWidth="1"/>
    <col min="11275" max="11275" width="14.453125" style="1" bestFit="1" customWidth="1"/>
    <col min="11276" max="11276" width="11.26953125" style="1" customWidth="1"/>
    <col min="11277" max="11277" width="18.81640625" style="1" customWidth="1"/>
    <col min="11278" max="11278" width="21.1796875" style="1" customWidth="1"/>
    <col min="11279" max="11279" width="20.54296875" style="1" customWidth="1"/>
    <col min="11280" max="11280" width="14.1796875" style="1" customWidth="1"/>
    <col min="11281" max="11281" width="21.26953125" style="1" customWidth="1"/>
    <col min="11282" max="11283" width="12.1796875" style="1" customWidth="1"/>
    <col min="11284" max="11284" width="13.54296875" style="1" bestFit="1" customWidth="1"/>
    <col min="11285" max="11529" width="8.81640625" style="1"/>
    <col min="11530" max="11530" width="51.453125" style="1" customWidth="1"/>
    <col min="11531" max="11531" width="14.453125" style="1" bestFit="1" customWidth="1"/>
    <col min="11532" max="11532" width="11.26953125" style="1" customWidth="1"/>
    <col min="11533" max="11533" width="18.81640625" style="1" customWidth="1"/>
    <col min="11534" max="11534" width="21.1796875" style="1" customWidth="1"/>
    <col min="11535" max="11535" width="20.54296875" style="1" customWidth="1"/>
    <col min="11536" max="11536" width="14.1796875" style="1" customWidth="1"/>
    <col min="11537" max="11537" width="21.26953125" style="1" customWidth="1"/>
    <col min="11538" max="11539" width="12.1796875" style="1" customWidth="1"/>
    <col min="11540" max="11540" width="13.54296875" style="1" bestFit="1" customWidth="1"/>
    <col min="11541" max="11785" width="8.81640625" style="1"/>
    <col min="11786" max="11786" width="51.453125" style="1" customWidth="1"/>
    <col min="11787" max="11787" width="14.453125" style="1" bestFit="1" customWidth="1"/>
    <col min="11788" max="11788" width="11.26953125" style="1" customWidth="1"/>
    <col min="11789" max="11789" width="18.81640625" style="1" customWidth="1"/>
    <col min="11790" max="11790" width="21.1796875" style="1" customWidth="1"/>
    <col min="11791" max="11791" width="20.54296875" style="1" customWidth="1"/>
    <col min="11792" max="11792" width="14.1796875" style="1" customWidth="1"/>
    <col min="11793" max="11793" width="21.26953125" style="1" customWidth="1"/>
    <col min="11794" max="11795" width="12.1796875" style="1" customWidth="1"/>
    <col min="11796" max="11796" width="13.54296875" style="1" bestFit="1" customWidth="1"/>
    <col min="11797" max="12041" width="8.81640625" style="1"/>
    <col min="12042" max="12042" width="51.453125" style="1" customWidth="1"/>
    <col min="12043" max="12043" width="14.453125" style="1" bestFit="1" customWidth="1"/>
    <col min="12044" max="12044" width="11.26953125" style="1" customWidth="1"/>
    <col min="12045" max="12045" width="18.81640625" style="1" customWidth="1"/>
    <col min="12046" max="12046" width="21.1796875" style="1" customWidth="1"/>
    <col min="12047" max="12047" width="20.54296875" style="1" customWidth="1"/>
    <col min="12048" max="12048" width="14.1796875" style="1" customWidth="1"/>
    <col min="12049" max="12049" width="21.26953125" style="1" customWidth="1"/>
    <col min="12050" max="12051" width="12.1796875" style="1" customWidth="1"/>
    <col min="12052" max="12052" width="13.54296875" style="1" bestFit="1" customWidth="1"/>
    <col min="12053" max="12297" width="8.81640625" style="1"/>
    <col min="12298" max="12298" width="51.453125" style="1" customWidth="1"/>
    <col min="12299" max="12299" width="14.453125" style="1" bestFit="1" customWidth="1"/>
    <col min="12300" max="12300" width="11.26953125" style="1" customWidth="1"/>
    <col min="12301" max="12301" width="18.81640625" style="1" customWidth="1"/>
    <col min="12302" max="12302" width="21.1796875" style="1" customWidth="1"/>
    <col min="12303" max="12303" width="20.54296875" style="1" customWidth="1"/>
    <col min="12304" max="12304" width="14.1796875" style="1" customWidth="1"/>
    <col min="12305" max="12305" width="21.26953125" style="1" customWidth="1"/>
    <col min="12306" max="12307" width="12.1796875" style="1" customWidth="1"/>
    <col min="12308" max="12308" width="13.54296875" style="1" bestFit="1" customWidth="1"/>
    <col min="12309" max="12553" width="8.81640625" style="1"/>
    <col min="12554" max="12554" width="51.453125" style="1" customWidth="1"/>
    <col min="12555" max="12555" width="14.453125" style="1" bestFit="1" customWidth="1"/>
    <col min="12556" max="12556" width="11.26953125" style="1" customWidth="1"/>
    <col min="12557" max="12557" width="18.81640625" style="1" customWidth="1"/>
    <col min="12558" max="12558" width="21.1796875" style="1" customWidth="1"/>
    <col min="12559" max="12559" width="20.54296875" style="1" customWidth="1"/>
    <col min="12560" max="12560" width="14.1796875" style="1" customWidth="1"/>
    <col min="12561" max="12561" width="21.26953125" style="1" customWidth="1"/>
    <col min="12562" max="12563" width="12.1796875" style="1" customWidth="1"/>
    <col min="12564" max="12564" width="13.54296875" style="1" bestFit="1" customWidth="1"/>
    <col min="12565" max="12809" width="8.81640625" style="1"/>
    <col min="12810" max="12810" width="51.453125" style="1" customWidth="1"/>
    <col min="12811" max="12811" width="14.453125" style="1" bestFit="1" customWidth="1"/>
    <col min="12812" max="12812" width="11.26953125" style="1" customWidth="1"/>
    <col min="12813" max="12813" width="18.81640625" style="1" customWidth="1"/>
    <col min="12814" max="12814" width="21.1796875" style="1" customWidth="1"/>
    <col min="12815" max="12815" width="20.54296875" style="1" customWidth="1"/>
    <col min="12816" max="12816" width="14.1796875" style="1" customWidth="1"/>
    <col min="12817" max="12817" width="21.26953125" style="1" customWidth="1"/>
    <col min="12818" max="12819" width="12.1796875" style="1" customWidth="1"/>
    <col min="12820" max="12820" width="13.54296875" style="1" bestFit="1" customWidth="1"/>
    <col min="12821" max="13065" width="8.81640625" style="1"/>
    <col min="13066" max="13066" width="51.453125" style="1" customWidth="1"/>
    <col min="13067" max="13067" width="14.453125" style="1" bestFit="1" customWidth="1"/>
    <col min="13068" max="13068" width="11.26953125" style="1" customWidth="1"/>
    <col min="13069" max="13069" width="18.81640625" style="1" customWidth="1"/>
    <col min="13070" max="13070" width="21.1796875" style="1" customWidth="1"/>
    <col min="13071" max="13071" width="20.54296875" style="1" customWidth="1"/>
    <col min="13072" max="13072" width="14.1796875" style="1" customWidth="1"/>
    <col min="13073" max="13073" width="21.26953125" style="1" customWidth="1"/>
    <col min="13074" max="13075" width="12.1796875" style="1" customWidth="1"/>
    <col min="13076" max="13076" width="13.54296875" style="1" bestFit="1" customWidth="1"/>
    <col min="13077" max="13321" width="8.81640625" style="1"/>
    <col min="13322" max="13322" width="51.453125" style="1" customWidth="1"/>
    <col min="13323" max="13323" width="14.453125" style="1" bestFit="1" customWidth="1"/>
    <col min="13324" max="13324" width="11.26953125" style="1" customWidth="1"/>
    <col min="13325" max="13325" width="18.81640625" style="1" customWidth="1"/>
    <col min="13326" max="13326" width="21.1796875" style="1" customWidth="1"/>
    <col min="13327" max="13327" width="20.54296875" style="1" customWidth="1"/>
    <col min="13328" max="13328" width="14.1796875" style="1" customWidth="1"/>
    <col min="13329" max="13329" width="21.26953125" style="1" customWidth="1"/>
    <col min="13330" max="13331" width="12.1796875" style="1" customWidth="1"/>
    <col min="13332" max="13332" width="13.54296875" style="1" bestFit="1" customWidth="1"/>
    <col min="13333" max="13577" width="8.81640625" style="1"/>
    <col min="13578" max="13578" width="51.453125" style="1" customWidth="1"/>
    <col min="13579" max="13579" width="14.453125" style="1" bestFit="1" customWidth="1"/>
    <col min="13580" max="13580" width="11.26953125" style="1" customWidth="1"/>
    <col min="13581" max="13581" width="18.81640625" style="1" customWidth="1"/>
    <col min="13582" max="13582" width="21.1796875" style="1" customWidth="1"/>
    <col min="13583" max="13583" width="20.54296875" style="1" customWidth="1"/>
    <col min="13584" max="13584" width="14.1796875" style="1" customWidth="1"/>
    <col min="13585" max="13585" width="21.26953125" style="1" customWidth="1"/>
    <col min="13586" max="13587" width="12.1796875" style="1" customWidth="1"/>
    <col min="13588" max="13588" width="13.54296875" style="1" bestFit="1" customWidth="1"/>
    <col min="13589" max="13833" width="8.81640625" style="1"/>
    <col min="13834" max="13834" width="51.453125" style="1" customWidth="1"/>
    <col min="13835" max="13835" width="14.453125" style="1" bestFit="1" customWidth="1"/>
    <col min="13836" max="13836" width="11.26953125" style="1" customWidth="1"/>
    <col min="13837" max="13837" width="18.81640625" style="1" customWidth="1"/>
    <col min="13838" max="13838" width="21.1796875" style="1" customWidth="1"/>
    <col min="13839" max="13839" width="20.54296875" style="1" customWidth="1"/>
    <col min="13840" max="13840" width="14.1796875" style="1" customWidth="1"/>
    <col min="13841" max="13841" width="21.26953125" style="1" customWidth="1"/>
    <col min="13842" max="13843" width="12.1796875" style="1" customWidth="1"/>
    <col min="13844" max="13844" width="13.54296875" style="1" bestFit="1" customWidth="1"/>
    <col min="13845" max="14089" width="8.81640625" style="1"/>
    <col min="14090" max="14090" width="51.453125" style="1" customWidth="1"/>
    <col min="14091" max="14091" width="14.453125" style="1" bestFit="1" customWidth="1"/>
    <col min="14092" max="14092" width="11.26953125" style="1" customWidth="1"/>
    <col min="14093" max="14093" width="18.81640625" style="1" customWidth="1"/>
    <col min="14094" max="14094" width="21.1796875" style="1" customWidth="1"/>
    <col min="14095" max="14095" width="20.54296875" style="1" customWidth="1"/>
    <col min="14096" max="14096" width="14.1796875" style="1" customWidth="1"/>
    <col min="14097" max="14097" width="21.26953125" style="1" customWidth="1"/>
    <col min="14098" max="14099" width="12.1796875" style="1" customWidth="1"/>
    <col min="14100" max="14100" width="13.54296875" style="1" bestFit="1" customWidth="1"/>
    <col min="14101" max="14345" width="8.81640625" style="1"/>
    <col min="14346" max="14346" width="51.453125" style="1" customWidth="1"/>
    <col min="14347" max="14347" width="14.453125" style="1" bestFit="1" customWidth="1"/>
    <col min="14348" max="14348" width="11.26953125" style="1" customWidth="1"/>
    <col min="14349" max="14349" width="18.81640625" style="1" customWidth="1"/>
    <col min="14350" max="14350" width="21.1796875" style="1" customWidth="1"/>
    <col min="14351" max="14351" width="20.54296875" style="1" customWidth="1"/>
    <col min="14352" max="14352" width="14.1796875" style="1" customWidth="1"/>
    <col min="14353" max="14353" width="21.26953125" style="1" customWidth="1"/>
    <col min="14354" max="14355" width="12.1796875" style="1" customWidth="1"/>
    <col min="14356" max="14356" width="13.54296875" style="1" bestFit="1" customWidth="1"/>
    <col min="14357" max="14601" width="8.81640625" style="1"/>
    <col min="14602" max="14602" width="51.453125" style="1" customWidth="1"/>
    <col min="14603" max="14603" width="14.453125" style="1" bestFit="1" customWidth="1"/>
    <col min="14604" max="14604" width="11.26953125" style="1" customWidth="1"/>
    <col min="14605" max="14605" width="18.81640625" style="1" customWidth="1"/>
    <col min="14606" max="14606" width="21.1796875" style="1" customWidth="1"/>
    <col min="14607" max="14607" width="20.54296875" style="1" customWidth="1"/>
    <col min="14608" max="14608" width="14.1796875" style="1" customWidth="1"/>
    <col min="14609" max="14609" width="21.26953125" style="1" customWidth="1"/>
    <col min="14610" max="14611" width="12.1796875" style="1" customWidth="1"/>
    <col min="14612" max="14612" width="13.54296875" style="1" bestFit="1" customWidth="1"/>
    <col min="14613" max="14857" width="8.81640625" style="1"/>
    <col min="14858" max="14858" width="51.453125" style="1" customWidth="1"/>
    <col min="14859" max="14859" width="14.453125" style="1" bestFit="1" customWidth="1"/>
    <col min="14860" max="14860" width="11.26953125" style="1" customWidth="1"/>
    <col min="14861" max="14861" width="18.81640625" style="1" customWidth="1"/>
    <col min="14862" max="14862" width="21.1796875" style="1" customWidth="1"/>
    <col min="14863" max="14863" width="20.54296875" style="1" customWidth="1"/>
    <col min="14864" max="14864" width="14.1796875" style="1" customWidth="1"/>
    <col min="14865" max="14865" width="21.26953125" style="1" customWidth="1"/>
    <col min="14866" max="14867" width="12.1796875" style="1" customWidth="1"/>
    <col min="14868" max="14868" width="13.54296875" style="1" bestFit="1" customWidth="1"/>
    <col min="14869" max="15113" width="8.81640625" style="1"/>
    <col min="15114" max="15114" width="51.453125" style="1" customWidth="1"/>
    <col min="15115" max="15115" width="14.453125" style="1" bestFit="1" customWidth="1"/>
    <col min="15116" max="15116" width="11.26953125" style="1" customWidth="1"/>
    <col min="15117" max="15117" width="18.81640625" style="1" customWidth="1"/>
    <col min="15118" max="15118" width="21.1796875" style="1" customWidth="1"/>
    <col min="15119" max="15119" width="20.54296875" style="1" customWidth="1"/>
    <col min="15120" max="15120" width="14.1796875" style="1" customWidth="1"/>
    <col min="15121" max="15121" width="21.26953125" style="1" customWidth="1"/>
    <col min="15122" max="15123" width="12.1796875" style="1" customWidth="1"/>
    <col min="15124" max="15124" width="13.54296875" style="1" bestFit="1" customWidth="1"/>
    <col min="15125" max="15369" width="8.81640625" style="1"/>
    <col min="15370" max="15370" width="51.453125" style="1" customWidth="1"/>
    <col min="15371" max="15371" width="14.453125" style="1" bestFit="1" customWidth="1"/>
    <col min="15372" max="15372" width="11.26953125" style="1" customWidth="1"/>
    <col min="15373" max="15373" width="18.81640625" style="1" customWidth="1"/>
    <col min="15374" max="15374" width="21.1796875" style="1" customWidth="1"/>
    <col min="15375" max="15375" width="20.54296875" style="1" customWidth="1"/>
    <col min="15376" max="15376" width="14.1796875" style="1" customWidth="1"/>
    <col min="15377" max="15377" width="21.26953125" style="1" customWidth="1"/>
    <col min="15378" max="15379" width="12.1796875" style="1" customWidth="1"/>
    <col min="15380" max="15380" width="13.54296875" style="1" bestFit="1" customWidth="1"/>
    <col min="15381" max="15625" width="8.81640625" style="1"/>
    <col min="15626" max="15626" width="51.453125" style="1" customWidth="1"/>
    <col min="15627" max="15627" width="14.453125" style="1" bestFit="1" customWidth="1"/>
    <col min="15628" max="15628" width="11.26953125" style="1" customWidth="1"/>
    <col min="15629" max="15629" width="18.81640625" style="1" customWidth="1"/>
    <col min="15630" max="15630" width="21.1796875" style="1" customWidth="1"/>
    <col min="15631" max="15631" width="20.54296875" style="1" customWidth="1"/>
    <col min="15632" max="15632" width="14.1796875" style="1" customWidth="1"/>
    <col min="15633" max="15633" width="21.26953125" style="1" customWidth="1"/>
    <col min="15634" max="15635" width="12.1796875" style="1" customWidth="1"/>
    <col min="15636" max="15636" width="13.54296875" style="1" bestFit="1" customWidth="1"/>
    <col min="15637" max="15881" width="8.81640625" style="1"/>
    <col min="15882" max="15882" width="51.453125" style="1" customWidth="1"/>
    <col min="15883" max="15883" width="14.453125" style="1" bestFit="1" customWidth="1"/>
    <col min="15884" max="15884" width="11.26953125" style="1" customWidth="1"/>
    <col min="15885" max="15885" width="18.81640625" style="1" customWidth="1"/>
    <col min="15886" max="15886" width="21.1796875" style="1" customWidth="1"/>
    <col min="15887" max="15887" width="20.54296875" style="1" customWidth="1"/>
    <col min="15888" max="15888" width="14.1796875" style="1" customWidth="1"/>
    <col min="15889" max="15889" width="21.26953125" style="1" customWidth="1"/>
    <col min="15890" max="15891" width="12.1796875" style="1" customWidth="1"/>
    <col min="15892" max="15892" width="13.54296875" style="1" bestFit="1" customWidth="1"/>
    <col min="15893" max="16137" width="8.81640625" style="1"/>
    <col min="16138" max="16138" width="51.453125" style="1" customWidth="1"/>
    <col min="16139" max="16139" width="14.453125" style="1" bestFit="1" customWidth="1"/>
    <col min="16140" max="16140" width="11.26953125" style="1" customWidth="1"/>
    <col min="16141" max="16141" width="18.81640625" style="1" customWidth="1"/>
    <col min="16142" max="16142" width="21.1796875" style="1" customWidth="1"/>
    <col min="16143" max="16143" width="20.54296875" style="1" customWidth="1"/>
    <col min="16144" max="16144" width="14.1796875" style="1" customWidth="1"/>
    <col min="16145" max="16145" width="21.26953125" style="1" customWidth="1"/>
    <col min="16146" max="16147" width="12.1796875" style="1" customWidth="1"/>
    <col min="16148" max="16148" width="13.54296875" style="1" bestFit="1" customWidth="1"/>
    <col min="16149" max="16384" width="8.81640625" style="1"/>
  </cols>
  <sheetData>
    <row r="1" spans="1:266" ht="16" thickBot="1" x14ac:dyDescent="0.4">
      <c r="A1" s="106"/>
      <c r="B1" s="104" t="s">
        <v>123</v>
      </c>
      <c r="C1" s="179">
        <f ca="1">TODAY()</f>
        <v>44021</v>
      </c>
      <c r="D1" s="105"/>
      <c r="E1" s="131" t="s">
        <v>122</v>
      </c>
      <c r="F1" s="105"/>
      <c r="G1" s="105"/>
      <c r="H1" s="105"/>
      <c r="I1" s="105"/>
      <c r="J1" s="105"/>
      <c r="K1" s="105"/>
      <c r="L1" s="105"/>
      <c r="M1" s="105"/>
      <c r="N1" s="105"/>
      <c r="O1" s="105"/>
      <c r="P1" s="105"/>
      <c r="Q1" s="105"/>
      <c r="R1" s="105"/>
      <c r="S1" s="105"/>
      <c r="T1" s="105"/>
      <c r="U1" s="105"/>
      <c r="V1" s="105"/>
      <c r="W1" s="263" t="s">
        <v>133</v>
      </c>
      <c r="X1" s="264"/>
      <c r="Y1" s="105"/>
      <c r="AA1" s="105"/>
      <c r="AB1" s="105"/>
      <c r="JF1"/>
    </row>
    <row r="2" spans="1:266" ht="45" customHeight="1" x14ac:dyDescent="0.35">
      <c r="A2" s="106"/>
      <c r="B2" s="194" t="s">
        <v>143</v>
      </c>
      <c r="C2" s="151" t="s">
        <v>120</v>
      </c>
      <c r="D2" s="111"/>
      <c r="E2" s="209" t="s">
        <v>96</v>
      </c>
      <c r="F2" s="210" t="s">
        <v>97</v>
      </c>
      <c r="G2" s="210" t="s">
        <v>165</v>
      </c>
      <c r="H2" s="210" t="s">
        <v>111</v>
      </c>
      <c r="I2" s="234" t="s">
        <v>173</v>
      </c>
      <c r="J2" s="234" t="s">
        <v>164</v>
      </c>
      <c r="K2" s="256" t="s">
        <v>177</v>
      </c>
      <c r="L2" s="210" t="s">
        <v>104</v>
      </c>
      <c r="M2" s="211" t="s">
        <v>152</v>
      </c>
      <c r="N2" s="210" t="s">
        <v>98</v>
      </c>
      <c r="O2" s="212" t="s">
        <v>155</v>
      </c>
      <c r="P2" s="210" t="s">
        <v>174</v>
      </c>
      <c r="Q2" s="211" t="s">
        <v>175</v>
      </c>
      <c r="R2" s="210" t="s">
        <v>166</v>
      </c>
      <c r="S2" s="210" t="s">
        <v>150</v>
      </c>
      <c r="T2" s="210" t="s">
        <v>144</v>
      </c>
      <c r="U2" s="210" t="s">
        <v>148</v>
      </c>
      <c r="V2" s="210" t="s">
        <v>142</v>
      </c>
      <c r="W2" s="213" t="s">
        <v>135</v>
      </c>
      <c r="X2" s="214" t="s">
        <v>138</v>
      </c>
      <c r="Y2" s="105"/>
      <c r="AA2" s="105"/>
      <c r="AB2" s="105"/>
    </row>
    <row r="3" spans="1:266" ht="15" customHeight="1" x14ac:dyDescent="0.35">
      <c r="A3" s="106"/>
      <c r="B3" s="195" t="s">
        <v>162</v>
      </c>
      <c r="C3" s="196" t="s">
        <v>170</v>
      </c>
      <c r="D3" s="111"/>
      <c r="E3" s="215"/>
      <c r="F3" s="134" t="s">
        <v>120</v>
      </c>
      <c r="G3" s="134" t="s">
        <v>120</v>
      </c>
      <c r="H3" s="135"/>
      <c r="I3" s="235"/>
      <c r="J3" s="236"/>
      <c r="K3" s="257"/>
      <c r="L3" s="134"/>
      <c r="M3" s="181" t="str">
        <f t="shared" ref="M3:M8" ca="1" si="0">IF(L3="","", YEAR( TODAY())-L3)</f>
        <v/>
      </c>
      <c r="N3" s="134" t="s">
        <v>120</v>
      </c>
      <c r="O3" s="175" t="s">
        <v>5</v>
      </c>
      <c r="P3" s="136"/>
      <c r="Q3" s="261" t="str">
        <f ca="1">IF(P3="","",IF(L3="",0,(P3-((P3-HLOOKUP(N3,'Maximum Capital Rates - School'!$A$2:$F$14,8,FALSE))/(HLOOKUP(N3,'Maximum Capital Rates - School'!$A$2:$F$14,4,FALSE)-(J3-L3)))*((YEAR(TODAY())-L3)-(J3-L3)))))</f>
        <v/>
      </c>
      <c r="R3" s="208" t="str">
        <f ca="1">IF(Q3="","",IF(OR(N3="Small",F3="YES"),Q3,IF(Q3+V3+HLOOKUP(N3,'Maximum Capital Rates - School'!$A$2:$F$14,6,FALSE)&gt;AA3,AA3,Q3+V3+HLOOKUP(N3,'Maximum Capital Rates - School'!$A$2:$F$14,6,FALSE))))</f>
        <v/>
      </c>
      <c r="S3" s="175" t="s">
        <v>5</v>
      </c>
      <c r="T3" s="136" t="s">
        <v>5</v>
      </c>
      <c r="U3" s="136"/>
      <c r="V3" s="136"/>
      <c r="W3" s="144">
        <f ca="1">IF($C$3="Novation",Y3,IFERROR((IF(OR(E3="",Q3=""),0,IF(F3="YES",IF(H3&gt;5, IF(AND(C$2="Special Needs Bus Service",M3&gt;10,M3&lt;16),9560.23,IF(AND(N3="Small",M3&gt;10),0,IF(M3&lt;26,H3,0))),IF(AND(N3="Small",G3="Urban/Town",M3&lt;16),H3*7360,IF(AND(N3="Small",M3&lt;11),H3*7360,IF(AND(N3="Medium",N3="Large",N3="X-Large",G3="Urban/Town",M3&lt;28),H3*10304,IF(AND(N3="Medium",M3&lt;21),H3*10304,IF(AND(N3="Medium",M3=21),'Maximum Capital Rates - School'!N$50,IF(AND(N3="Medium",M3=22),'Maximum Capital Rates - School'!N$51,IF(AND(N3="Large",M3&lt;21),H3*14720,IF(AND(N3="Large",M3=21),'Maximum Capital Rates - School'!Q$50,IF(AND(N3="Large",M3=22),'Maximum Capital Rates - School'!Q$51,IF(AND(N3="X-Large",M3&lt;21),H3*17664,IF(AND(N3="X-Large",M3=21),'Maximum Capital Rates - School'!T$50,IF(AND(N3="X-Large",M3=22),'Maximum Capital Rates - School'!T$51,IF(AND(N3="Artic",M3&lt;31),H3*20608,IF("FALSE",0,))))))))))))))),IF(AND(N3="Artic",M3&gt;25),0,IF(M3&gt;20,0,IF(PMT(K3*HLOOKUP('Contract Amount Calc - School'!N3,'Maximum Capital Rates - School'!B$2:F$14,12,FALSE)+(K3+1.5%)*(1-HLOOKUP('Contract Amount Calc - School'!N3,'Maximum Capital Rates - School'!B$2:F$14,12,FALSE)),(IF(N3="Small",VLOOKUP(M3,'Maximum Capital Rates - School'!H$18:W$44,2,FALSE),IF(N3="Medium",VLOOKUP(M3,'Maximum Capital Rates - School'!H$18:W$44,5,FALSE),IF(N3="Large",VLOOKUP(M3,'Maximum Capital Rates - School'!H$18:W$44,8,FALSE),IF(N3="X-Large",VLOOKUP(M3,'Maximum Capital Rates - School'!H$18:W$44,11,FALSE),IF(N3="Artic",VLOOKUP(M3,'Maximum Capital Rates - School'!H$18:W$44,14,FALSE))))))),-(Q3+V3+IF(T3="YES",IF(IF(N3="Small",VLOOKUP(M3,'Maximum Capital Rates - School'!H$18:W$44,2,FALSE),IF(N3="Medium",VLOOKUP(M3,'Maximum Capital Rates - School'!H$18:W$44,5,FALSE),IF(N3="Large",VLOOKUP(M3,'Maximum Capital Rates - School'!H$18:W$44,8,FALSE),IF(N3="X-Large",VLOOKUP(M3,'Maximum Capital Rates - School'!H$18:W$44,11,FALSE),IF(N3="Artic",VLOOKUP(M3,'Maximum Capital Rates - School'!H$18:W$44,14,FALSE))))))&gt;4,U3,0),0)+HLOOKUP(N3,'Maximum Capital Rates - School'!B$2:F$14,6,FALSE)),HLOOKUP(N3,'Maximum Capital Rates - School'!B$2:F$14,8,FALSE),0)+IF(OR(N3="Small",AD3="false"),0,VLOOKUP(M3,'Maximum Capital Rates - School'!A$18:G$44,7,FALSE))&gt;PMT(K3*HLOOKUP('Contract Amount Calc - School'!N3,'Maximum Capital Rates - School'!B$2:F$14,12,FALSE)+(K3+1.5%)*(1-HLOOKUP('Contract Amount Calc - School'!N3,'Maximum Capital Rates - School'!B$2:F$14,12,FALSE)),(IF(N3="Small",VLOOKUP(M3,'Maximum Capital Rates - School'!H$18:W$44,2,FALSE),IF(N3="Medium",VLOOKUP(M3,'Maximum Capital Rates - School'!H$18:W$44,5,FALSE),IF(N3="Large",VLOOKUP(M3,'Maximum Capital Rates - School'!H$18:W$44,8,FALSE),IF(N3="X-Large",VLOOKUP(M3,'Maximum Capital Rates - School'!H$18:W$44,11,FALSE),IF(N3="Artic",VLOOKUP(M3,'Maximum Capital Rates - School'!H$18:W$44,14,FALSE))))))),-(HLOOKUP(N3,'Maximum Capital Rates - School'!A$18:F$44,M3+2,FALSE)+IF(AND(N3="Small",O3="YES"),IF(M3=0,10000,0),0)+V3+IF(T3="YES",IF(IF(N3="Small",VLOOKUP(M3,'Maximum Capital Rates - School'!H$18:W$44,2,FALSE),IF(N3="Medium",VLOOKUP(M3,'Maximum Capital Rates - School'!H$18:W$44,5,FALSE),IF(N3="Large",VLOOKUP(M3,'Maximum Capital Rates - School'!H$18:W$44,8,FALSE),IF(N3="X-Large",VLOOKUP(M3,'Maximum Capital Rates - School'!H$18:W$44,11,FALSE),IF(N3="Artic",VLOOKUP(M3,'Maximum Capital Rates - School'!H$18:W$44,14,FALSE))))))&gt;4,U3,0),0)),HLOOKUP(N3,'Maximum Capital Rates - School'!B$2:F$14,8,FALSE),0)+IF(OR(N3="Small",AD3="false"),0,VLOOKUP(M3,'Maximum Capital Rates - School'!A$18:G$44,7,FALSE)),PMT(K3*HLOOKUP('Contract Amount Calc - School'!N3,'Maximum Capital Rates - School'!B$2:F$14,12,FALSE)+(K3+1.5%)*(1-HLOOKUP('Contract Amount Calc - School'!N3,'Maximum Capital Rates - School'!B$2:F$14,12,FALSE)),(IF(N3="Small",VLOOKUP(M3,'Maximum Capital Rates - School'!H$18:W$44,2,FALSE),IF(N3="Medium",VLOOKUP(M3,'Maximum Capital Rates - School'!H$18:W$44,5,FALSE),IF(N3="Large",VLOOKUP(M3,'Maximum Capital Rates - School'!H$18:W$44,8,FALSE),IF(N3="X-Large",VLOOKUP(M3,'Maximum Capital Rates - School'!H$18:W$44,11,FALSE),IF(N3="Artic",VLOOKUP(M3,'Maximum Capital Rates - School'!H$18:W$44,14,FALSE))))))),-(HLOOKUP(N3,'Maximum Capital Rates - School'!A$18:F$44,M3+2,FALSE)+IF(AND(N3="Small",O3="YES"),IF(M3=0,10000,0),0)+V3+IF(T3="YES",IF(IF(N3="Small",VLOOKUP(M3,'Maximum Capital Rates - School'!H$18:W$44,2,FALSE),IF(N3="Medium",VLOOKUP(M3,'Maximum Capital Rates - School'!H$18:W$44,5,FALSE),IF(N3="Large",VLOOKUP(M3,'Maximum Capital Rates - School'!H$18:W$44,8,FALSE),IF(N3="X-Large",VLOOKUP(M3,'Maximum Capital Rates - School'!H$18:W$44,11,FALSE),IF(N3="Artic",VLOOKUP(M3,'Maximum Capital Rates - School'!H$18:W$44,14,FALSE))))))&gt;4,U3,0),0)),HLOOKUP(N3,'Maximum Capital Rates - School'!B$2:F$14,8,FALSE),0)+IF(OR(N3="Small",AD3="false"),0,VLOOKUP(M3,'Maximum Capital Rates - School'!A$18:G$44,7,FALSE)),(PMT(K3*HLOOKUP('Contract Amount Calc - School'!N3,'Maximum Capital Rates - School'!B$2:F$14,12,FALSE)+(K3+1.5%)*(1-HLOOKUP('Contract Amount Calc - School'!N3,'Maximum Capital Rates - School'!B$2:F$14,12,FALSE)),(IF(N3="Small",VLOOKUP(M3,'Maximum Capital Rates - School'!H$18:W$44,2,FALSE),IF(N3="Medium",VLOOKUP(M3,'Maximum Capital Rates - School'!H$18:W$44,5,FALSE),IF(N3="Large",VLOOKUP(M3,'Maximum Capital Rates - School'!H$18:W$44,8,FALSE),IF(N3="X-Large",VLOOKUP(M3,'Maximum Capital Rates - School'!H$18:W$44,11,FALSE),IF(N3="Artic",VLOOKUP(M3,'Maximum Capital Rates - School'!H$18:W$44,14,FALSE))))))),-(Q3+V3+IF(T3="YES",IF(IF(N3="Small",VLOOKUP(M3,'Maximum Capital Rates - School'!H$18:W$44,2,FALSE),IF(N3="Medium",VLOOKUP(M3,'Maximum Capital Rates - School'!H$18:W$44,5,FALSE),IF(N3="Large",VLOOKUP(M3,'Maximum Capital Rates - School'!H$18:W$44,8,FALSE),IF(N3="X-Large",VLOOKUP(M3,'Maximum Capital Rates - School'!H$18:W$44,11,FALSE),IF(N3="Artic",VLOOKUP(M3,'Maximum Capital Rates - School'!H$18:W$44,14,FALSE))))))&gt;4,U3,0),0)+HLOOKUP(N3,'Maximum Capital Rates - School'!B$2:F$14,6,FALSE)),HLOOKUP(N3,'Maximum Capital Rates - School'!B$2:F$14,8,FALSE),0)+IF(OR(N3="Small",AD3="false"),0,VLOOKUP(M3,'Maximum Capital Rates - School'!A$18:G$44,7,FALSE))))))))),0))</f>
        <v>0</v>
      </c>
      <c r="X3" s="216">
        <f ca="1">IF(R3="",0,IF(N3="Small",Sheet1!E$3,Sheet1!D$3)+Sheet1!D$4+IF(C$7="Yes",Sheet1!$D$10,0)+IF(S3="Yes",Sheet1!D$9,0)+IF(R3*Sheet1!C$5&lt;1046,1046*(1+Sheet1!C$67),IF(AND(F3="YES",R3&gt;Sheet1!E$5),(Sheet1!E$5*Sheet1!C$5)*(1+Sheet1!C$67),(R3*Sheet1!C$5)*(1+Sheet1!C$67)))+IF(M3&gt;Sheet1!C$6,2,1)*(Sheet1!D$6))</f>
        <v>0</v>
      </c>
      <c r="Y3" s="105" t="e">
        <f ca="1">IF(H3&gt;IF(PMT(K3*HLOOKUP('Contract Amount Calc - School'!N3,'Maximum Capital Rates - School'!B$2:F$14,12,FALSE)+(K3+1.5%)*(1-HLOOKUP('Contract Amount Calc - School'!N3,'Maximum Capital Rates - School'!B$2:F$14,12,FALSE)),(IF(N3="Small",VLOOKUP(M3,'Maximum Capital Rates - School'!H$18:W$44,2,FALSE),IF(N3="Medium",VLOOKUP(M3,'Maximum Capital Rates - School'!H$18:W$44,5,FALSE),IF(N3="Large",VLOOKUP(M3,'Maximum Capital Rates - School'!H$18:W$44,8,FALSE),IF(N3="X-Large",VLOOKUP(M3,'Maximum Capital Rates - School'!H$18:W$44,11,FALSE),IF(N3="Artic",VLOOKUP(M3,'Maximum Capital Rates - School'!H$18:W$44,14,FALSE))))))),-(Q3+V3+IF(T3="YES",IF(IF(N3="Small",VLOOKUP(M3,'Maximum Capital Rates - School'!H$18:W$44,2,FALSE),IF(N3="Medium",VLOOKUP(M3,'Maximum Capital Rates - School'!H$18:W$44,5,FALSE),IF(N3="Large",VLOOKUP(M3,'Maximum Capital Rates - School'!H$18:W$44,8,FALSE),IF(N3="X-Large",VLOOKUP(M3,'Maximum Capital Rates - School'!H$18:W$44,11,FALSE),IF(N3="Artic",VLOOKUP(M3,'Maximum Capital Rates - School'!H$18:W$44,14,FALSE))))))&gt;4,U3,0),0)+HLOOKUP(N3,'Maximum Capital Rates - School'!B$2:F$14,6,FALSE)),HLOOKUP(N3,'Maximum Capital Rates - School'!B$2:F$14,8,FALSE),0)+IF(OR(N3="Small",AD3="false"),0,VLOOKUP(M3,'Maximum Capital Rates - School'!A$18:G$44,7,FALSE))&gt;PMT(K3*HLOOKUP('Contract Amount Calc - School'!N3,'Maximum Capital Rates - School'!B$2:F$14,12,FALSE)+(K3+1.5%)*(1-HLOOKUP('Contract Amount Calc - School'!N3,'Maximum Capital Rates - School'!B$2:F$14,12,FALSE)),(IF(N3="Small",VLOOKUP(M3,'Maximum Capital Rates - School'!H$18:W$44,2,FALSE),IF(N3="Medium",VLOOKUP(M3,'Maximum Capital Rates - School'!H$18:W$44,5,FALSE),IF(N3="Large",VLOOKUP(M3,'Maximum Capital Rates - School'!H$18:W$44,8,FALSE),IF(N3="X-Large",VLOOKUP(M3,'Maximum Capital Rates - School'!H$18:W$44,11,FALSE),IF(N3="Artic",VLOOKUP(M3,'Maximum Capital Rates - School'!H$18:W$44,14,FALSE))))))),-(HLOOKUP(N3,'Maximum Capital Rates - School'!A$18:F$44,M3+2,FALSE)+IF(AND(N3="Small",O3="YES"),IF(M3=0,10000,0),0)+V3+IF(T3="YES",IF(IF(N3="Small",VLOOKUP(M3,'Maximum Capital Rates - School'!H$18:W$44,2,FALSE),IF(N3="Medium",VLOOKUP(M3,'Maximum Capital Rates - School'!H$18:W$44,5,FALSE),IF(N3="Large",VLOOKUP(M3,'Maximum Capital Rates - School'!H$18:W$44,8,FALSE),IF(N3="X-Large",VLOOKUP(M3,'Maximum Capital Rates - School'!H$18:W$44,11,FALSE),IF(N3="Artic",VLOOKUP(M3,'Maximum Capital Rates - School'!H$18:W$44,14,FALSE))))))&gt;4,U3,0),0)),HLOOKUP(N3,'Maximum Capital Rates - School'!B$2:F$14,8,FALSE),0)+IF(OR(N3="Small",AD3="false"),0,VLOOKUP(M3,'Maximum Capital Rates - School'!A$18:G$44,7,FALSE)),PMT(K3*HLOOKUP('Contract Amount Calc - School'!N3,'Maximum Capital Rates - School'!B$2:F$14,12,FALSE)+(K3+1.5%)*(1-HLOOKUP('Contract Amount Calc - School'!N3,'Maximum Capital Rates - School'!B$2:F$14,12,FALSE)),(IF(N3="Small",VLOOKUP(M3,'Maximum Capital Rates - School'!H$18:W$44,2,FALSE),IF(N3="Medium",VLOOKUP(M3,'Maximum Capital Rates - School'!H$18:W$44,5,FALSE),IF(N3="Large",VLOOKUP(M3,'Maximum Capital Rates - School'!H$18:W$44,8,FALSE),IF(N3="X-Large",VLOOKUP(M3,'Maximum Capital Rates - School'!H$18:W$44,11,FALSE),IF(N3="Artic",VLOOKUP(M3,'Maximum Capital Rates - School'!H$18:W$44,14,FALSE))))))),-(HLOOKUP(N3,'Maximum Capital Rates - School'!A$18:F$44,M3+2,FALSE)+IF(AND(N3="Small",O3="YES"),IF(M3=0,10000,0),0)+V3+IF(T3="YES",IF(IF(N3="Small",VLOOKUP(M3,'Maximum Capital Rates - School'!H$18:W$44,2,FALSE),IF(N3="Medium",VLOOKUP(M3,'Maximum Capital Rates - School'!H$18:W$44,5,FALSE),IF(N3="Large",VLOOKUP(M3,'Maximum Capital Rates - School'!H$18:W$44,8,FALSE),IF(N3="X-Large",VLOOKUP(M3,'Maximum Capital Rates - School'!H$18:W$44,11,FALSE),IF(N3="Artic",VLOOKUP(M3,'Maximum Capital Rates - School'!H$18:W$44,14,FALSE))))))&gt;4,U3,0),0)),HLOOKUP(N3,'Maximum Capital Rates - School'!B$2:F$14,8,FALSE),0)+IF(OR(N3="Small",AD3="false"),0,VLOOKUP(M3,'Maximum Capital Rates - School'!A$18:G$44,7,FALSE)),(PMT(K3*HLOOKUP('Contract Amount Calc - School'!N3,'Maximum Capital Rates - School'!B$2:F$14,12,FALSE)+(K3+1.5%)*(1-HLOOKUP('Contract Amount Calc - School'!N3,'Maximum Capital Rates - School'!B$2:F$14,12,FALSE)),(IF(N3="Small",VLOOKUP(M3,'Maximum Capital Rates - School'!H$18:W$44,2,FALSE),IF(N3="Medium",VLOOKUP(M3,'Maximum Capital Rates - School'!H$18:W$44,5,FALSE),IF(N3="Large",VLOOKUP(M3,'Maximum Capital Rates - School'!H$18:W$44,8,FALSE),IF(N3="X-Large",VLOOKUP(M3,'Maximum Capital Rates - School'!H$18:W$44,11,FALSE),IF(N3="Artic",VLOOKUP(M3,'Maximum Capital Rates - School'!H$18:W$44,14,FALSE))))))),-(Q3+V3+IF(T3="YES",IF(IF(N3="Small",VLOOKUP(M3,'Maximum Capital Rates - School'!H$18:W$44,2,FALSE),IF(N3="Medium",VLOOKUP(M3,'Maximum Capital Rates - School'!H$18:W$44,5,FALSE),IF(N3="Large",VLOOKUP(M3,'Maximum Capital Rates - School'!H$18:W$44,8,FALSE),IF(N3="X-Large",VLOOKUP(M3,'Maximum Capital Rates - School'!H$18:W$44,11,FALSE),IF(N3="Artic",VLOOKUP(M3,'Maximum Capital Rates - School'!H$18:W$44,14,FALSE))))))&gt;4,U3,0),0)+HLOOKUP(N3,'Maximum Capital Rates - School'!B$2:F$14,6,FALSE)),HLOOKUP(N3,'Maximum Capital Rates - School'!B$2:F$14,8,FALSE),0)+IF(OR(N3="Small",AD3="false"),0,VLOOKUP(M3,'Maximum Capital Rates - School'!A$18:G$44,7,FALSE)))),Z3,H3)</f>
        <v>#N/A</v>
      </c>
      <c r="Z3" s="124" t="e">
        <f ca="1">IF(PMT(K3*HLOOKUP('Contract Amount Calc - School'!N3,'Maximum Capital Rates - School'!B$2:F$14,12,FALSE)+(K3+1.5%)*(1-HLOOKUP('Contract Amount Calc - School'!N3,'Maximum Capital Rates - School'!B$2:F$14,12,FALSE)),(IF(N3="Small",VLOOKUP(M3,'Maximum Capital Rates - School'!H$18:W$44,2,FALSE),IF(N3="Medium",VLOOKUP(M3,'Maximum Capital Rates - School'!H$18:W$44,5,FALSE),IF(N3="Large",VLOOKUP(M3,'Maximum Capital Rates - School'!H$18:W$44,8,FALSE),IF(N3="X-Large",VLOOKUP(M3,'Maximum Capital Rates - School'!H$18:W$44,11,FALSE),IF(N3="Artic",VLOOKUP(M3,'Maximum Capital Rates - School'!H$18:W$44,14,FALSE))))))),-(Q3+V3+IF(T3="YES",IF(IF(N3="Small",VLOOKUP(M3,'Maximum Capital Rates - School'!H$18:W$44,2,FALSE),IF(N3="Medium",VLOOKUP(M3,'Maximum Capital Rates - School'!H$18:W$44,5,FALSE),IF(N3="Large",VLOOKUP(M3,'Maximum Capital Rates - School'!H$18:W$44,8,FALSE),IF(N3="X-Large",VLOOKUP(M3,'Maximum Capital Rates - School'!H$18:W$44,11,FALSE),IF(N3="Artic",VLOOKUP(M3,'Maximum Capital Rates - School'!H$18:W$44,14,FALSE))))))&gt;4,U3,0),0)+HLOOKUP(N3,'Maximum Capital Rates - School'!B$2:F$14,6,FALSE)),HLOOKUP(N3,'Maximum Capital Rates - School'!B$2:F$14,8,FALSE),0)+IF(OR(N3="Small",AD3="false"),0,VLOOKUP(M3,'Maximum Capital Rates - School'!A$18:G$44,7,FALSE))&gt;PMT(K3*HLOOKUP('Contract Amount Calc - School'!N3,'Maximum Capital Rates - School'!B$2:F$14,12,FALSE)+(K3+1.5%)*(1-HLOOKUP('Contract Amount Calc - School'!N3,'Maximum Capital Rates - School'!B$2:F$14,12,FALSE)),(IF(N3="Small",VLOOKUP(M3,'Maximum Capital Rates - School'!H$18:W$44,2,FALSE),IF(N3="Medium",VLOOKUP(M3,'Maximum Capital Rates - School'!H$18:W$44,5,FALSE),IF(N3="Large",VLOOKUP(M3,'Maximum Capital Rates - School'!H$18:W$44,8,FALSE),IF(N3="X-Large",VLOOKUP(M3,'Maximum Capital Rates - School'!H$18:W$44,11,FALSE),IF(N3="Artic",VLOOKUP(M3,'Maximum Capital Rates - School'!H$18:W$44,14,FALSE))))))),-(HLOOKUP(N3,'Maximum Capital Rates - School'!A$18:F$44,M3+2,FALSE)+IF(AND(N3="Small",O3="YES"),IF(M3=0,10000,0),0)+V3+IF(T3="YES",IF(IF(N3="Small",VLOOKUP(M3,'Maximum Capital Rates - School'!H$18:W$44,2,FALSE),IF(N3="Medium",VLOOKUP(M3,'Maximum Capital Rates - School'!H$18:W$44,5,FALSE),IF(N3="Large",VLOOKUP(M3,'Maximum Capital Rates - School'!H$18:W$44,8,FALSE),IF(N3="X-Large",VLOOKUP(M3,'Maximum Capital Rates - School'!H$18:W$44,11,FALSE),IF(N3="Artic",VLOOKUP(M3,'Maximum Capital Rates - School'!H$18:W$44,14,FALSE))))))&gt;4,U3,0),0)),HLOOKUP(N3,'Maximum Capital Rates - School'!B$2:F$14,8,FALSE),0)+IF(OR(N3="Small",AD3="false"),0,VLOOKUP(M3,'Maximum Capital Rates - School'!A$18:G$44,7,FALSE)),PMT(K3*HLOOKUP('Contract Amount Calc - School'!N3,'Maximum Capital Rates - School'!B$2:F$14,12,FALSE)+(K3+1.5%)*(1-HLOOKUP('Contract Amount Calc - School'!N3,'Maximum Capital Rates - School'!B$2:F$14,12,FALSE)),(IF(N3="Small",VLOOKUP(M3,'Maximum Capital Rates - School'!H$18:W$44,2,FALSE),IF(N3="Medium",VLOOKUP(M3,'Maximum Capital Rates - School'!H$18:W$44,5,FALSE),IF(N3="Large",VLOOKUP(M3,'Maximum Capital Rates - School'!H$18:W$44,8,FALSE),IF(N3="X-Large",VLOOKUP(M3,'Maximum Capital Rates - School'!H$18:W$44,11,FALSE),IF(N3="Artic",VLOOKUP(M3,'Maximum Capital Rates - School'!H$18:W$44,14,FALSE))))))),-(HLOOKUP(N3,'Maximum Capital Rates - School'!A$18:F$44,M3+2,FALSE)+IF(AND(N3="Small",O3="YES"),IF(M3=0,10000,0),0)+V3+IF(T3="YES",IF(IF(N3="Small",VLOOKUP(M3,'Maximum Capital Rates - School'!H$18:W$44,2,FALSE),IF(N3="Medium",VLOOKUP(M3,'Maximum Capital Rates - School'!H$18:W$44,5,FALSE),IF(N3="Large",VLOOKUP(M3,'Maximum Capital Rates - School'!H$18:W$44,8,FALSE),IF(N3="X-Large",VLOOKUP(M3,'Maximum Capital Rates - School'!H$18:W$44,11,FALSE),IF(N3="Artic",VLOOKUP(M3,'Maximum Capital Rates - School'!H$18:W$44,14,FALSE))))))&gt;4,U3,0),0)),HLOOKUP(N3,'Maximum Capital Rates - School'!B$2:F$14,8,FALSE),0)+IF(OR(N3="Small",AD3="false"),0,VLOOKUP(M3,'Maximum Capital Rates - School'!A$18:G$44,7,FALSE)),(PMT(K3*HLOOKUP('Contract Amount Calc - School'!N3,'Maximum Capital Rates - School'!B$2:F$14,12,FALSE)+(K3+1.5%)*(1-HLOOKUP('Contract Amount Calc - School'!N3,'Maximum Capital Rates - School'!B$2:F$14,12,FALSE)),(IF(N3="Small",VLOOKUP(M3,'Maximum Capital Rates - School'!H$18:W$44,2,FALSE),IF(N3="Medium",VLOOKUP(M3,'Maximum Capital Rates - School'!H$18:W$44,5,FALSE),IF(N3="Large",VLOOKUP(M3,'Maximum Capital Rates - School'!H$18:W$44,8,FALSE),IF(N3="X-Large",VLOOKUP(M3,'Maximum Capital Rates - School'!H$18:W$44,11,FALSE),IF(N3="Artic",VLOOKUP(M3,'Maximum Capital Rates - School'!H$18:W$44,14,FALSE))))))),-(Q3+V3+IF(T3="YES",IF(IF(N3="Small",VLOOKUP(M3,'Maximum Capital Rates - School'!H$18:W$44,2,FALSE),IF(N3="Medium",VLOOKUP(M3,'Maximum Capital Rates - School'!H$18:W$44,5,FALSE),IF(N3="Large",VLOOKUP(M3,'Maximum Capital Rates - School'!H$18:W$44,8,FALSE),IF(N3="X-Large",VLOOKUP(M3,'Maximum Capital Rates - School'!H$18:W$44,11,FALSE),IF(N3="Artic",VLOOKUP(M3,'Maximum Capital Rates - School'!H$18:W$44,14,FALSE))))))&gt;4,U3,0),0)+HLOOKUP(N3,'Maximum Capital Rates - School'!B$2:F$14,6,FALSE)),HLOOKUP(N3,'Maximum Capital Rates - School'!B$2:F$14,8,FALSE),0)+IF(OR(N3="Small",AD3="false"),0,VLOOKUP(M3,'Maximum Capital Rates - School'!A$18:G$44,7,FALSE))))</f>
        <v>#N/A</v>
      </c>
      <c r="AA3" s="1">
        <f>IF(F3="YES",200000,IF(N3="Small",ROUND(VLOOKUP(M3,'Maximum Capital Rates - School'!A$18:F$44,2,FALSE),0),IF(N3="Medium",ROUND(VLOOKUP(M3,'Maximum Capital Rates - School'!A$18:F$44,3,FALSE),0),IF(N3="Large",ROUND(VLOOKUP(M3,'Maximum Capital Rates - School'!A$18:F$44,4,FALSE),0),IF(N3="X-Large",ROUND(VLOOKUP(M3,'Maximum Capital Rates - School'!A$18:F$44,5,FALSE),0),IF(N3="Artic",ROUND(VLOOKUP(M3,'Maximum Capital Rates - School'!A$18:F$44,6,FALSE),0))))))+IF(AND(N3="Small",O3="YES"),IF(M3=0,10000,0),0))</f>
        <v>0</v>
      </c>
      <c r="AB3" s="105" t="str">
        <f t="shared" ref="AB3:AB8" si="1">IF(I3&lt;10,"true","false")</f>
        <v>true</v>
      </c>
      <c r="AC3" s="1" t="str">
        <f t="shared" ref="AC3:AC7" si="2">IF(J3&lt;2019,"true","false")</f>
        <v>true</v>
      </c>
      <c r="AD3" s="1" t="str">
        <f>IF(AND(AB3="true",AC3="true"),"false","true")</f>
        <v>false</v>
      </c>
    </row>
    <row r="4" spans="1:266" x14ac:dyDescent="0.35">
      <c r="A4" s="106"/>
      <c r="B4" s="152" t="s">
        <v>63</v>
      </c>
      <c r="C4" s="153" t="s">
        <v>120</v>
      </c>
      <c r="D4" s="111"/>
      <c r="E4" s="217"/>
      <c r="F4" s="134" t="s">
        <v>120</v>
      </c>
      <c r="G4" s="134" t="s">
        <v>120</v>
      </c>
      <c r="H4" s="135"/>
      <c r="I4" s="235"/>
      <c r="J4" s="236"/>
      <c r="K4" s="257"/>
      <c r="L4" s="134"/>
      <c r="M4" s="181" t="str">
        <f t="shared" ca="1" si="0"/>
        <v/>
      </c>
      <c r="N4" s="134" t="s">
        <v>120</v>
      </c>
      <c r="O4" s="175" t="s">
        <v>5</v>
      </c>
      <c r="P4" s="136"/>
      <c r="Q4" s="261" t="str">
        <f ca="1">IF(P4="","",IF(L4="",0,(P4-((P4-HLOOKUP(N4,'Maximum Capital Rates - School'!$A$2:$F$14,8,FALSE))/(HLOOKUP(N4,'Maximum Capital Rates - School'!$A$2:$F$14,4,FALSE)-(J4-L4)))*((YEAR(TODAY())-L4)-(J4-L4)))))</f>
        <v/>
      </c>
      <c r="R4" s="208" t="str">
        <f ca="1">IF(Q4="","",IF(OR(N4="Small",F4="YES"),Q4,IF(Q4+V4+HLOOKUP(N4,'Maximum Capital Rates - School'!$A$2:$F$14,6,FALSE)&gt;AA4,AA4,Q4+V4+HLOOKUP(N4,'Maximum Capital Rates - School'!$A$2:$F$14,6,FALSE))))</f>
        <v/>
      </c>
      <c r="S4" s="175" t="s">
        <v>5</v>
      </c>
      <c r="T4" s="136" t="s">
        <v>5</v>
      </c>
      <c r="U4" s="136"/>
      <c r="V4" s="136"/>
      <c r="W4" s="144">
        <f ca="1">IF($C$3="Novation",Y4,IFERROR((IF(OR(E4="",Q4=""),0,IF(F4="YES",IF(H4&gt;5, IF(AND(C$2="Special Needs Bus Service",M4&gt;10,M4&lt;16),9560.23,IF(AND(N4="Small",M4&gt;10),0,IF(M4&lt;26,H4,0))),IF(AND(N4="Small",G4="Urban/Town",M4&lt;16),H4*7360,IF(AND(N4="Small",M4&lt;11),H4*7360,IF(AND(N4="Medium",N4="Large",N4="X-Large",G4="Urban/Town",M4&lt;28),H4*10304,IF(AND(N4="Medium",M4&lt;21),H4*10304,IF(AND(N4="Medium",M4=21),'Maximum Capital Rates - School'!N$50,IF(AND(N4="Medium",M4=22),'Maximum Capital Rates - School'!N$51,IF(AND(N4="Large",M4&lt;21),H4*14720,IF(AND(N4="Large",M4=21),'Maximum Capital Rates - School'!Q$50,IF(AND(N4="Large",M4=22),'Maximum Capital Rates - School'!Q$51,IF(AND(N4="X-Large",M4&lt;21),H4*17664,IF(AND(N4="X-Large",M4=21),'Maximum Capital Rates - School'!T$50,IF(AND(N4="X-Large",M4=22),'Maximum Capital Rates - School'!T$51,IF(AND(N4="Artic",M4&lt;31),H4*20608,IF("FALSE",0,))))))))))))))),IF(AND(N4="Artic",M4&gt;25),0,IF(M4&gt;20,0,IF(PMT(K4*HLOOKUP('Contract Amount Calc - School'!N4,'Maximum Capital Rates - School'!B$2:F$14,12,FALSE)+(K4+1.5%)*(1-HLOOKUP('Contract Amount Calc - School'!N4,'Maximum Capital Rates - School'!B$2:F$14,12,FALSE)),(IF(N4="Small",VLOOKUP(M4,'Maximum Capital Rates - School'!H$18:W$44,2,FALSE),IF(N4="Medium",VLOOKUP(M4,'Maximum Capital Rates - School'!H$18:W$44,5,FALSE),IF(N4="Large",VLOOKUP(M4,'Maximum Capital Rates - School'!H$18:W$44,8,FALSE),IF(N4="X-Large",VLOOKUP(M4,'Maximum Capital Rates - School'!H$18:W$44,11,FALSE),IF(N4="Artic",VLOOKUP(M4,'Maximum Capital Rates - School'!H$18:W$44,14,FALSE))))))),-(Q4+V4+IF(T4="YES",IF(IF(N4="Small",VLOOKUP(M4,'Maximum Capital Rates - School'!H$18:W$44,2,FALSE),IF(N4="Medium",VLOOKUP(M4,'Maximum Capital Rates - School'!H$18:W$44,5,FALSE),IF(N4="Large",VLOOKUP(M4,'Maximum Capital Rates - School'!H$18:W$44,8,FALSE),IF(N4="X-Large",VLOOKUP(M4,'Maximum Capital Rates - School'!H$18:W$44,11,FALSE),IF(N4="Artic",VLOOKUP(M4,'Maximum Capital Rates - School'!H$18:W$44,14,FALSE))))))&gt;4,U4,0),0)+HLOOKUP(N4,'Maximum Capital Rates - School'!B$2:F$14,6,FALSE)),HLOOKUP(N4,'Maximum Capital Rates - School'!B$2:F$14,8,FALSE),0)+IF(OR(N4="Small",AD4="false"),0,VLOOKUP(M4,'Maximum Capital Rates - School'!A$18:G$44,7,FALSE))&gt;PMT(K4*HLOOKUP('Contract Amount Calc - School'!N4,'Maximum Capital Rates - School'!B$2:F$14,12,FALSE)+(K4+1.5%)*(1-HLOOKUP('Contract Amount Calc - School'!N4,'Maximum Capital Rates - School'!B$2:F$14,12,FALSE)),(IF(N4="Small",VLOOKUP(M4,'Maximum Capital Rates - School'!H$18:W$44,2,FALSE),IF(N4="Medium",VLOOKUP(M4,'Maximum Capital Rates - School'!H$18:W$44,5,FALSE),IF(N4="Large",VLOOKUP(M4,'Maximum Capital Rates - School'!H$18:W$44,8,FALSE),IF(N4="X-Large",VLOOKUP(M4,'Maximum Capital Rates - School'!H$18:W$44,11,FALSE),IF(N4="Artic",VLOOKUP(M4,'Maximum Capital Rates - School'!H$18:W$44,14,FALSE))))))),-(HLOOKUP(N4,'Maximum Capital Rates - School'!A$18:F$44,M4+2,FALSE)+IF(AND(N4="Small",O4="YES"),IF(M4=0,10000,0),0)+V4+IF(T4="YES",IF(IF(N4="Small",VLOOKUP(M4,'Maximum Capital Rates - School'!H$18:W$44,2,FALSE),IF(N4="Medium",VLOOKUP(M4,'Maximum Capital Rates - School'!H$18:W$44,5,FALSE),IF(N4="Large",VLOOKUP(M4,'Maximum Capital Rates - School'!H$18:W$44,8,FALSE),IF(N4="X-Large",VLOOKUP(M4,'Maximum Capital Rates - School'!H$18:W$44,11,FALSE),IF(N4="Artic",VLOOKUP(M4,'Maximum Capital Rates - School'!H$18:W$44,14,FALSE))))))&gt;4,U4,0),0)),HLOOKUP(N4,'Maximum Capital Rates - School'!B$2:F$14,8,FALSE),0)+IF(OR(N4="Small",AD4="false"),0,VLOOKUP(M4,'Maximum Capital Rates - School'!A$18:G$44,7,FALSE)),PMT(K4*HLOOKUP('Contract Amount Calc - School'!N4,'Maximum Capital Rates - School'!B$2:F$14,12,FALSE)+(K4+1.5%)*(1-HLOOKUP('Contract Amount Calc - School'!N4,'Maximum Capital Rates - School'!B$2:F$14,12,FALSE)),(IF(N4="Small",VLOOKUP(M4,'Maximum Capital Rates - School'!H$18:W$44,2,FALSE),IF(N4="Medium",VLOOKUP(M4,'Maximum Capital Rates - School'!H$18:W$44,5,FALSE),IF(N4="Large",VLOOKUP(M4,'Maximum Capital Rates - School'!H$18:W$44,8,FALSE),IF(N4="X-Large",VLOOKUP(M4,'Maximum Capital Rates - School'!H$18:W$44,11,FALSE),IF(N4="Artic",VLOOKUP(M4,'Maximum Capital Rates - School'!H$18:W$44,14,FALSE))))))),-(HLOOKUP(N4,'Maximum Capital Rates - School'!A$18:F$44,M4+2,FALSE)+IF(AND(N4="Small",O4="YES"),IF(M4=0,10000,0),0)+V4+IF(T4="YES",IF(IF(N4="Small",VLOOKUP(M4,'Maximum Capital Rates - School'!H$18:W$44,2,FALSE),IF(N4="Medium",VLOOKUP(M4,'Maximum Capital Rates - School'!H$18:W$44,5,FALSE),IF(N4="Large",VLOOKUP(M4,'Maximum Capital Rates - School'!H$18:W$44,8,FALSE),IF(N4="X-Large",VLOOKUP(M4,'Maximum Capital Rates - School'!H$18:W$44,11,FALSE),IF(N4="Artic",VLOOKUP(M4,'Maximum Capital Rates - School'!H$18:W$44,14,FALSE))))))&gt;4,U4,0),0)),HLOOKUP(N4,'Maximum Capital Rates - School'!B$2:F$14,8,FALSE),0)+IF(OR(N4="Small",AD4="false"),0,VLOOKUP(M4,'Maximum Capital Rates - School'!A$18:G$44,7,FALSE)),(PMT(K4*HLOOKUP('Contract Amount Calc - School'!N4,'Maximum Capital Rates - School'!B$2:F$14,12,FALSE)+(K4+1.5%)*(1-HLOOKUP('Contract Amount Calc - School'!N4,'Maximum Capital Rates - School'!B$2:F$14,12,FALSE)),(IF(N4="Small",VLOOKUP(M4,'Maximum Capital Rates - School'!H$18:W$44,2,FALSE),IF(N4="Medium",VLOOKUP(M4,'Maximum Capital Rates - School'!H$18:W$44,5,FALSE),IF(N4="Large",VLOOKUP(M4,'Maximum Capital Rates - School'!H$18:W$44,8,FALSE),IF(N4="X-Large",VLOOKUP(M4,'Maximum Capital Rates - School'!H$18:W$44,11,FALSE),IF(N4="Artic",VLOOKUP(M4,'Maximum Capital Rates - School'!H$18:W$44,14,FALSE))))))),-(Q4+V4+IF(T4="YES",IF(IF(N4="Small",VLOOKUP(M4,'Maximum Capital Rates - School'!H$18:W$44,2,FALSE),IF(N4="Medium",VLOOKUP(M4,'Maximum Capital Rates - School'!H$18:W$44,5,FALSE),IF(N4="Large",VLOOKUP(M4,'Maximum Capital Rates - School'!H$18:W$44,8,FALSE),IF(N4="X-Large",VLOOKUP(M4,'Maximum Capital Rates - School'!H$18:W$44,11,FALSE),IF(N4="Artic",VLOOKUP(M4,'Maximum Capital Rates - School'!H$18:W$44,14,FALSE))))))&gt;4,U4,0),0)+HLOOKUP(N4,'Maximum Capital Rates - School'!B$2:F$14,6,FALSE)),HLOOKUP(N4,'Maximum Capital Rates - School'!B$2:F$14,8,FALSE),0)+IF(OR(N4="Small",AD4="false"),0,VLOOKUP(M4,'Maximum Capital Rates - School'!A$18:G$44,7,FALSE))))))))),0))</f>
        <v>0</v>
      </c>
      <c r="X4" s="216">
        <f ca="1">IF(R4="",0,IF(N4="Small",Sheet1!E$3,Sheet1!D$3)+Sheet1!D$4+IF(C$7="Yes",Sheet1!$D$10,0)+IF(S4="Yes",Sheet1!D$9,0)+IF(R4*Sheet1!C$5&lt;1046,1046*(1+Sheet1!C$67),IF(AND(F4="YES",R4&gt;Sheet1!E$5),(Sheet1!E$5*Sheet1!C$5)*(1+Sheet1!C$67),(R4*Sheet1!C$5)*(1+Sheet1!C$67)))+IF(M4&gt;Sheet1!C$6,2,1)*(Sheet1!D$6))</f>
        <v>0</v>
      </c>
      <c r="Y4" s="105" t="e">
        <f ca="1">IF(H4&gt;IF(PMT(K4*HLOOKUP('Contract Amount Calc - School'!N4,'Maximum Capital Rates - School'!B$2:F$14,12,FALSE)+(K4+1.5%)*(1-HLOOKUP('Contract Amount Calc - School'!N4,'Maximum Capital Rates - School'!B$2:F$14,12,FALSE)),(IF(N4="Small",VLOOKUP(M4,'Maximum Capital Rates - School'!H$18:W$44,2,FALSE),IF(N4="Medium",VLOOKUP(M4,'Maximum Capital Rates - School'!H$18:W$44,5,FALSE),IF(N4="Large",VLOOKUP(M4,'Maximum Capital Rates - School'!H$18:W$44,8,FALSE),IF(N4="X-Large",VLOOKUP(M4,'Maximum Capital Rates - School'!H$18:W$44,11,FALSE),IF(N4="Artic",VLOOKUP(M4,'Maximum Capital Rates - School'!H$18:W$44,14,FALSE))))))),-(Q4+V4+IF(T4="YES",IF(IF(N4="Small",VLOOKUP(M4,'Maximum Capital Rates - School'!H$18:W$44,2,FALSE),IF(N4="Medium",VLOOKUP(M4,'Maximum Capital Rates - School'!H$18:W$44,5,FALSE),IF(N4="Large",VLOOKUP(M4,'Maximum Capital Rates - School'!H$18:W$44,8,FALSE),IF(N4="X-Large",VLOOKUP(M4,'Maximum Capital Rates - School'!H$18:W$44,11,FALSE),IF(N4="Artic",VLOOKUP(M4,'Maximum Capital Rates - School'!H$18:W$44,14,FALSE))))))&gt;4,U4,0),0)+HLOOKUP(N4,'Maximum Capital Rates - School'!B$2:F$14,6,FALSE)),HLOOKUP(N4,'Maximum Capital Rates - School'!B$2:F$14,8,FALSE),0)+IF(OR(N4="Small",AD4="false"),0,VLOOKUP(M4,'Maximum Capital Rates - School'!A$18:G$44,7,FALSE))&gt;PMT(K4*HLOOKUP('Contract Amount Calc - School'!N4,'Maximum Capital Rates - School'!B$2:F$14,12,FALSE)+(K4+1.5%)*(1-HLOOKUP('Contract Amount Calc - School'!N4,'Maximum Capital Rates - School'!B$2:F$14,12,FALSE)),(IF(N4="Small",VLOOKUP(M4,'Maximum Capital Rates - School'!H$18:W$44,2,FALSE),IF(N4="Medium",VLOOKUP(M4,'Maximum Capital Rates - School'!H$18:W$44,5,FALSE),IF(N4="Large",VLOOKUP(M4,'Maximum Capital Rates - School'!H$18:W$44,8,FALSE),IF(N4="X-Large",VLOOKUP(M4,'Maximum Capital Rates - School'!H$18:W$44,11,FALSE),IF(N4="Artic",VLOOKUP(M4,'Maximum Capital Rates - School'!H$18:W$44,14,FALSE))))))),-(HLOOKUP(N4,'Maximum Capital Rates - School'!A$18:F$44,M4+2,FALSE)+IF(AND(N4="Small",O4="YES"),IF(M4=0,10000,0),0)+V4+IF(T4="YES",IF(IF(N4="Small",VLOOKUP(M4,'Maximum Capital Rates - School'!H$18:W$44,2,FALSE),IF(N4="Medium",VLOOKUP(M4,'Maximum Capital Rates - School'!H$18:W$44,5,FALSE),IF(N4="Large",VLOOKUP(M4,'Maximum Capital Rates - School'!H$18:W$44,8,FALSE),IF(N4="X-Large",VLOOKUP(M4,'Maximum Capital Rates - School'!H$18:W$44,11,FALSE),IF(N4="Artic",VLOOKUP(M4,'Maximum Capital Rates - School'!H$18:W$44,14,FALSE))))))&gt;4,U4,0),0)),HLOOKUP(N4,'Maximum Capital Rates - School'!B$2:F$14,8,FALSE),0)+IF(OR(N4="Small",AD4="false"),0,VLOOKUP(M4,'Maximum Capital Rates - School'!A$18:G$44,7,FALSE)),PMT(K4*HLOOKUP('Contract Amount Calc - School'!N4,'Maximum Capital Rates - School'!B$2:F$14,12,FALSE)+(K4+1.5%)*(1-HLOOKUP('Contract Amount Calc - School'!N4,'Maximum Capital Rates - School'!B$2:F$14,12,FALSE)),(IF(N4="Small",VLOOKUP(M4,'Maximum Capital Rates - School'!H$18:W$44,2,FALSE),IF(N4="Medium",VLOOKUP(M4,'Maximum Capital Rates - School'!H$18:W$44,5,FALSE),IF(N4="Large",VLOOKUP(M4,'Maximum Capital Rates - School'!H$18:W$44,8,FALSE),IF(N4="X-Large",VLOOKUP(M4,'Maximum Capital Rates - School'!H$18:W$44,11,FALSE),IF(N4="Artic",VLOOKUP(M4,'Maximum Capital Rates - School'!H$18:W$44,14,FALSE))))))),-(HLOOKUP(N4,'Maximum Capital Rates - School'!A$18:F$44,M4+2,FALSE)+IF(AND(N4="Small",O4="YES"),IF(M4=0,10000,0),0)+V4+IF(T4="YES",IF(IF(N4="Small",VLOOKUP(M4,'Maximum Capital Rates - School'!H$18:W$44,2,FALSE),IF(N4="Medium",VLOOKUP(M4,'Maximum Capital Rates - School'!H$18:W$44,5,FALSE),IF(N4="Large",VLOOKUP(M4,'Maximum Capital Rates - School'!H$18:W$44,8,FALSE),IF(N4="X-Large",VLOOKUP(M4,'Maximum Capital Rates - School'!H$18:W$44,11,FALSE),IF(N4="Artic",VLOOKUP(M4,'Maximum Capital Rates - School'!H$18:W$44,14,FALSE))))))&gt;4,U4,0),0)),HLOOKUP(N4,'Maximum Capital Rates - School'!B$2:F$14,8,FALSE),0)+IF(OR(N4="Small",AD4="false"),0,VLOOKUP(M4,'Maximum Capital Rates - School'!A$18:G$44,7,FALSE)),(PMT(K4*HLOOKUP('Contract Amount Calc - School'!N4,'Maximum Capital Rates - School'!B$2:F$14,12,FALSE)+(K4+1.5%)*(1-HLOOKUP('Contract Amount Calc - School'!N4,'Maximum Capital Rates - School'!B$2:F$14,12,FALSE)),(IF(N4="Small",VLOOKUP(M4,'Maximum Capital Rates - School'!H$18:W$44,2,FALSE),IF(N4="Medium",VLOOKUP(M4,'Maximum Capital Rates - School'!H$18:W$44,5,FALSE),IF(N4="Large",VLOOKUP(M4,'Maximum Capital Rates - School'!H$18:W$44,8,FALSE),IF(N4="X-Large",VLOOKUP(M4,'Maximum Capital Rates - School'!H$18:W$44,11,FALSE),IF(N4="Artic",VLOOKUP(M4,'Maximum Capital Rates - School'!H$18:W$44,14,FALSE))))))),-(Q4+V4+IF(T4="YES",IF(IF(N4="Small",VLOOKUP(M4,'Maximum Capital Rates - School'!H$18:W$44,2,FALSE),IF(N4="Medium",VLOOKUP(M4,'Maximum Capital Rates - School'!H$18:W$44,5,FALSE),IF(N4="Large",VLOOKUP(M4,'Maximum Capital Rates - School'!H$18:W$44,8,FALSE),IF(N4="X-Large",VLOOKUP(M4,'Maximum Capital Rates - School'!H$18:W$44,11,FALSE),IF(N4="Artic",VLOOKUP(M4,'Maximum Capital Rates - School'!H$18:W$44,14,FALSE))))))&gt;4,U4,0),0)+HLOOKUP(N4,'Maximum Capital Rates - School'!B$2:F$14,6,FALSE)),HLOOKUP(N4,'Maximum Capital Rates - School'!B$2:F$14,8,FALSE),0)+IF(OR(N4="Small",AD4="false"),0,VLOOKUP(M4,'Maximum Capital Rates - School'!A$18:G$44,7,FALSE)))),Z4,H4)</f>
        <v>#N/A</v>
      </c>
      <c r="Z4" s="124" t="e">
        <f ca="1">IF(PMT(K4*HLOOKUP('Contract Amount Calc - School'!N4,'Maximum Capital Rates - School'!B$2:F$14,12,FALSE)+(K4+1.5%)*(1-HLOOKUP('Contract Amount Calc - School'!N4,'Maximum Capital Rates - School'!B$2:F$14,12,FALSE)),(IF(N4="Small",VLOOKUP(M4,'Maximum Capital Rates - School'!H$18:W$44,2,FALSE),IF(N4="Medium",VLOOKUP(M4,'Maximum Capital Rates - School'!H$18:W$44,5,FALSE),IF(N4="Large",VLOOKUP(M4,'Maximum Capital Rates - School'!H$18:W$44,8,FALSE),IF(N4="X-Large",VLOOKUP(M4,'Maximum Capital Rates - School'!H$18:W$44,11,FALSE),IF(N4="Artic",VLOOKUP(M4,'Maximum Capital Rates - School'!H$18:W$44,14,FALSE))))))),-(Q4+V4+IF(T4="YES",IF(IF(N4="Small",VLOOKUP(M4,'Maximum Capital Rates - School'!H$18:W$44,2,FALSE),IF(N4="Medium",VLOOKUP(M4,'Maximum Capital Rates - School'!H$18:W$44,5,FALSE),IF(N4="Large",VLOOKUP(M4,'Maximum Capital Rates - School'!H$18:W$44,8,FALSE),IF(N4="X-Large",VLOOKUP(M4,'Maximum Capital Rates - School'!H$18:W$44,11,FALSE),IF(N4="Artic",VLOOKUP(M4,'Maximum Capital Rates - School'!H$18:W$44,14,FALSE))))))&gt;4,U4,0),0)+HLOOKUP(N4,'Maximum Capital Rates - School'!B$2:F$14,6,FALSE)),HLOOKUP(N4,'Maximum Capital Rates - School'!B$2:F$14,8,FALSE),0)+IF(OR(N4="Small",AD4="false"),0,VLOOKUP(M4,'Maximum Capital Rates - School'!A$18:G$44,7,FALSE))&gt;PMT(K4*HLOOKUP('Contract Amount Calc - School'!N4,'Maximum Capital Rates - School'!B$2:F$14,12,FALSE)+(K4+1.5%)*(1-HLOOKUP('Contract Amount Calc - School'!N4,'Maximum Capital Rates - School'!B$2:F$14,12,FALSE)),(IF(N4="Small",VLOOKUP(M4,'Maximum Capital Rates - School'!H$18:W$44,2,FALSE),IF(N4="Medium",VLOOKUP(M4,'Maximum Capital Rates - School'!H$18:W$44,5,FALSE),IF(N4="Large",VLOOKUP(M4,'Maximum Capital Rates - School'!H$18:W$44,8,FALSE),IF(N4="X-Large",VLOOKUP(M4,'Maximum Capital Rates - School'!H$18:W$44,11,FALSE),IF(N4="Artic",VLOOKUP(M4,'Maximum Capital Rates - School'!H$18:W$44,14,FALSE))))))),-(HLOOKUP(N4,'Maximum Capital Rates - School'!A$18:F$44,M4+2,FALSE)+IF(AND(N4="Small",O4="YES"),IF(M4=0,10000,0),0)+V4+IF(T4="YES",IF(IF(N4="Small",VLOOKUP(M4,'Maximum Capital Rates - School'!H$18:W$44,2,FALSE),IF(N4="Medium",VLOOKUP(M4,'Maximum Capital Rates - School'!H$18:W$44,5,FALSE),IF(N4="Large",VLOOKUP(M4,'Maximum Capital Rates - School'!H$18:W$44,8,FALSE),IF(N4="X-Large",VLOOKUP(M4,'Maximum Capital Rates - School'!H$18:W$44,11,FALSE),IF(N4="Artic",VLOOKUP(M4,'Maximum Capital Rates - School'!H$18:W$44,14,FALSE))))))&gt;4,U4,0),0)),HLOOKUP(N4,'Maximum Capital Rates - School'!B$2:F$14,8,FALSE),0)+IF(OR(N4="Small",AD4="false"),0,VLOOKUP(M4,'Maximum Capital Rates - School'!A$18:G$44,7,FALSE)),PMT(K4*HLOOKUP('Contract Amount Calc - School'!N4,'Maximum Capital Rates - School'!B$2:F$14,12,FALSE)+(K4+1.5%)*(1-HLOOKUP('Contract Amount Calc - School'!N4,'Maximum Capital Rates - School'!B$2:F$14,12,FALSE)),(IF(N4="Small",VLOOKUP(M4,'Maximum Capital Rates - School'!H$18:W$44,2,FALSE),IF(N4="Medium",VLOOKUP(M4,'Maximum Capital Rates - School'!H$18:W$44,5,FALSE),IF(N4="Large",VLOOKUP(M4,'Maximum Capital Rates - School'!H$18:W$44,8,FALSE),IF(N4="X-Large",VLOOKUP(M4,'Maximum Capital Rates - School'!H$18:W$44,11,FALSE),IF(N4="Artic",VLOOKUP(M4,'Maximum Capital Rates - School'!H$18:W$44,14,FALSE))))))),-(HLOOKUP(N4,'Maximum Capital Rates - School'!A$18:F$44,M4+2,FALSE)+IF(AND(N4="Small",O4="YES"),IF(M4=0,10000,0),0)+V4+IF(T4="YES",IF(IF(N4="Small",VLOOKUP(M4,'Maximum Capital Rates - School'!H$18:W$44,2,FALSE),IF(N4="Medium",VLOOKUP(M4,'Maximum Capital Rates - School'!H$18:W$44,5,FALSE),IF(N4="Large",VLOOKUP(M4,'Maximum Capital Rates - School'!H$18:W$44,8,FALSE),IF(N4="X-Large",VLOOKUP(M4,'Maximum Capital Rates - School'!H$18:W$44,11,FALSE),IF(N4="Artic",VLOOKUP(M4,'Maximum Capital Rates - School'!H$18:W$44,14,FALSE))))))&gt;4,U4,0),0)),HLOOKUP(N4,'Maximum Capital Rates - School'!B$2:F$14,8,FALSE),0)+IF(OR(N4="Small",AD4="false"),0,VLOOKUP(M4,'Maximum Capital Rates - School'!A$18:G$44,7,FALSE)),(PMT(K4*HLOOKUP('Contract Amount Calc - School'!N4,'Maximum Capital Rates - School'!B$2:F$14,12,FALSE)+(K4+1.5%)*(1-HLOOKUP('Contract Amount Calc - School'!N4,'Maximum Capital Rates - School'!B$2:F$14,12,FALSE)),(IF(N4="Small",VLOOKUP(M4,'Maximum Capital Rates - School'!H$18:W$44,2,FALSE),IF(N4="Medium",VLOOKUP(M4,'Maximum Capital Rates - School'!H$18:W$44,5,FALSE),IF(N4="Large",VLOOKUP(M4,'Maximum Capital Rates - School'!H$18:W$44,8,FALSE),IF(N4="X-Large",VLOOKUP(M4,'Maximum Capital Rates - School'!H$18:W$44,11,FALSE),IF(N4="Artic",VLOOKUP(M4,'Maximum Capital Rates - School'!H$18:W$44,14,FALSE))))))),-(Q4+V4+IF(T4="YES",IF(IF(N4="Small",VLOOKUP(M4,'Maximum Capital Rates - School'!H$18:W$44,2,FALSE),IF(N4="Medium",VLOOKUP(M4,'Maximum Capital Rates - School'!H$18:W$44,5,FALSE),IF(N4="Large",VLOOKUP(M4,'Maximum Capital Rates - School'!H$18:W$44,8,FALSE),IF(N4="X-Large",VLOOKUP(M4,'Maximum Capital Rates - School'!H$18:W$44,11,FALSE),IF(N4="Artic",VLOOKUP(M4,'Maximum Capital Rates - School'!H$18:W$44,14,FALSE))))))&gt;4,U4,0),0)+HLOOKUP(N4,'Maximum Capital Rates - School'!B$2:F$14,6,FALSE)),HLOOKUP(N4,'Maximum Capital Rates - School'!B$2:F$14,8,FALSE),0)+IF(OR(N4="Small",AD4="false"),0,VLOOKUP(M4,'Maximum Capital Rates - School'!A$18:G$44,7,FALSE))))</f>
        <v>#N/A</v>
      </c>
      <c r="AA4" s="1">
        <f>IF(F4="YES",200000,IF(N4="Small",ROUND(VLOOKUP(M4,'Maximum Capital Rates - School'!A$18:F$44,2,FALSE),0),IF(N4="Medium",ROUND(VLOOKUP(M4,'Maximum Capital Rates - School'!A$18:F$44,3,FALSE),0),IF(N4="Large",ROUND(VLOOKUP(M4,'Maximum Capital Rates - School'!A$18:F$44,4,FALSE),0),IF(N4="X-Large",ROUND(VLOOKUP(M4,'Maximum Capital Rates - School'!A$18:F$44,5,FALSE),0),IF(N4="Artic",ROUND(VLOOKUP(M4,'Maximum Capital Rates - School'!A$18:F$44,6,FALSE),0))))))+IF(AND(N4="Small",O4="YES"),IF(M4=0,10000,0),0))</f>
        <v>0</v>
      </c>
      <c r="AB4" s="105" t="str">
        <f t="shared" si="1"/>
        <v>true</v>
      </c>
      <c r="AC4" s="1" t="str">
        <f t="shared" si="2"/>
        <v>true</v>
      </c>
      <c r="AD4" s="1" t="str">
        <f t="shared" ref="AD4:AD8" si="3">IF(AND(AB4="true",AC4="true"),"false","true")</f>
        <v>false</v>
      </c>
    </row>
    <row r="5" spans="1:266" x14ac:dyDescent="0.35">
      <c r="A5" s="106"/>
      <c r="B5" s="119" t="s">
        <v>81</v>
      </c>
      <c r="C5" s="132" t="s">
        <v>120</v>
      </c>
      <c r="D5" s="111"/>
      <c r="E5" s="217"/>
      <c r="F5" s="134" t="s">
        <v>120</v>
      </c>
      <c r="G5" s="134" t="s">
        <v>120</v>
      </c>
      <c r="H5" s="135"/>
      <c r="I5" s="235"/>
      <c r="J5" s="236"/>
      <c r="K5" s="257"/>
      <c r="L5" s="134"/>
      <c r="M5" s="181" t="str">
        <f t="shared" ca="1" si="0"/>
        <v/>
      </c>
      <c r="N5" s="134" t="s">
        <v>120</v>
      </c>
      <c r="O5" s="175" t="s">
        <v>5</v>
      </c>
      <c r="P5" s="136"/>
      <c r="Q5" s="261" t="str">
        <f ca="1">IF(P5="","",IF(L5="",0,(P5-((P5-HLOOKUP(N5,'Maximum Capital Rates - School'!$A$2:$F$14,8,FALSE))/(HLOOKUP(N5,'Maximum Capital Rates - School'!$A$2:$F$14,4,FALSE)-(J5-L5)))*((YEAR(TODAY())-L5)-(J5-L5)))))</f>
        <v/>
      </c>
      <c r="R5" s="208" t="str">
        <f ca="1">IF(Q5="","",IF(OR(N5="Small",F5="YES"),Q5,IF(Q5+V5+HLOOKUP(N5,'Maximum Capital Rates - School'!$A$2:$F$14,6,FALSE)&gt;AA5,AA5,Q5+V5+HLOOKUP(N5,'Maximum Capital Rates - School'!$A$2:$F$14,6,FALSE))))</f>
        <v/>
      </c>
      <c r="S5" s="175" t="s">
        <v>5</v>
      </c>
      <c r="T5" s="136" t="s">
        <v>5</v>
      </c>
      <c r="U5" s="136"/>
      <c r="V5" s="136"/>
      <c r="W5" s="144">
        <f ca="1">IF($C$3="Novation",Y5,IFERROR((IF(OR(E5="",Q5=""),0,IF(F5="YES",IF(H5&gt;5, IF(AND(C$2="Special Needs Bus Service",M5&gt;10,M5&lt;16),9560.23,IF(AND(N5="Small",M5&gt;10),0,IF(M5&lt;26,H5,0))),IF(AND(N5="Small",G5="Urban/Town",M5&lt;16),H5*7360,IF(AND(N5="Small",M5&lt;11),H5*7360,IF(AND(N5="Medium",N5="Large",N5="X-Large",G5="Urban/Town",M5&lt;28),H5*10304,IF(AND(N5="Medium",M5&lt;21),H5*10304,IF(AND(N5="Medium",M5=21),'Maximum Capital Rates - School'!N$50,IF(AND(N5="Medium",M5=22),'Maximum Capital Rates - School'!N$51,IF(AND(N5="Large",M5&lt;21),H5*14720,IF(AND(N5="Large",M5=21),'Maximum Capital Rates - School'!Q$50,IF(AND(N5="Large",M5=22),'Maximum Capital Rates - School'!Q$51,IF(AND(N5="X-Large",M5&lt;21),H5*17664,IF(AND(N5="X-Large",M5=21),'Maximum Capital Rates - School'!T$50,IF(AND(N5="X-Large",M5=22),'Maximum Capital Rates - School'!T$51,IF(AND(N5="Artic",M5&lt;31),H5*20608,IF("FALSE",0,))))))))))))))),IF(AND(N5="Artic",M5&gt;25),0,IF(M5&gt;20,0,IF(PMT(K5*HLOOKUP('Contract Amount Calc - School'!N5,'Maximum Capital Rates - School'!B$2:F$14,12,FALSE)+(K5+1.5%)*(1-HLOOKUP('Contract Amount Calc - School'!N5,'Maximum Capital Rates - School'!B$2:F$14,12,FALSE)),(IF(N5="Small",VLOOKUP(M5,'Maximum Capital Rates - School'!H$18:W$44,2,FALSE),IF(N5="Medium",VLOOKUP(M5,'Maximum Capital Rates - School'!H$18:W$44,5,FALSE),IF(N5="Large",VLOOKUP(M5,'Maximum Capital Rates - School'!H$18:W$44,8,FALSE),IF(N5="X-Large",VLOOKUP(M5,'Maximum Capital Rates - School'!H$18:W$44,11,FALSE),IF(N5="Artic",VLOOKUP(M5,'Maximum Capital Rates - School'!H$18:W$44,14,FALSE))))))),-(Q5+V5+IF(T5="YES",IF(IF(N5="Small",VLOOKUP(M5,'Maximum Capital Rates - School'!H$18:W$44,2,FALSE),IF(N5="Medium",VLOOKUP(M5,'Maximum Capital Rates - School'!H$18:W$44,5,FALSE),IF(N5="Large",VLOOKUP(M5,'Maximum Capital Rates - School'!H$18:W$44,8,FALSE),IF(N5="X-Large",VLOOKUP(M5,'Maximum Capital Rates - School'!H$18:W$44,11,FALSE),IF(N5="Artic",VLOOKUP(M5,'Maximum Capital Rates - School'!H$18:W$44,14,FALSE))))))&gt;4,U5,0),0)+HLOOKUP(N5,'Maximum Capital Rates - School'!B$2:F$14,6,FALSE)),HLOOKUP(N5,'Maximum Capital Rates - School'!B$2:F$14,8,FALSE),0)+IF(OR(N5="Small",AD5="false"),0,VLOOKUP(M5,'Maximum Capital Rates - School'!A$18:G$44,7,FALSE))&gt;PMT(K5*HLOOKUP('Contract Amount Calc - School'!N5,'Maximum Capital Rates - School'!B$2:F$14,12,FALSE)+(K5+1.5%)*(1-HLOOKUP('Contract Amount Calc - School'!N5,'Maximum Capital Rates - School'!B$2:F$14,12,FALSE)),(IF(N5="Small",VLOOKUP(M5,'Maximum Capital Rates - School'!H$18:W$44,2,FALSE),IF(N5="Medium",VLOOKUP(M5,'Maximum Capital Rates - School'!H$18:W$44,5,FALSE),IF(N5="Large",VLOOKUP(M5,'Maximum Capital Rates - School'!H$18:W$44,8,FALSE),IF(N5="X-Large",VLOOKUP(M5,'Maximum Capital Rates - School'!H$18:W$44,11,FALSE),IF(N5="Artic",VLOOKUP(M5,'Maximum Capital Rates - School'!H$18:W$44,14,FALSE))))))),-(HLOOKUP(N5,'Maximum Capital Rates - School'!A$18:F$44,M5+2,FALSE)+IF(AND(N5="Small",O5="YES"),IF(M5=0,10000,0),0)+V5+IF(T5="YES",IF(IF(N5="Small",VLOOKUP(M5,'Maximum Capital Rates - School'!H$18:W$44,2,FALSE),IF(N5="Medium",VLOOKUP(M5,'Maximum Capital Rates - School'!H$18:W$44,5,FALSE),IF(N5="Large",VLOOKUP(M5,'Maximum Capital Rates - School'!H$18:W$44,8,FALSE),IF(N5="X-Large",VLOOKUP(M5,'Maximum Capital Rates - School'!H$18:W$44,11,FALSE),IF(N5="Artic",VLOOKUP(M5,'Maximum Capital Rates - School'!H$18:W$44,14,FALSE))))))&gt;4,U5,0),0)),HLOOKUP(N5,'Maximum Capital Rates - School'!B$2:F$14,8,FALSE),0)+IF(OR(N5="Small",AD5="false"),0,VLOOKUP(M5,'Maximum Capital Rates - School'!A$18:G$44,7,FALSE)),PMT(K5*HLOOKUP('Contract Amount Calc - School'!N5,'Maximum Capital Rates - School'!B$2:F$14,12,FALSE)+(K5+1.5%)*(1-HLOOKUP('Contract Amount Calc - School'!N5,'Maximum Capital Rates - School'!B$2:F$14,12,FALSE)),(IF(N5="Small",VLOOKUP(M5,'Maximum Capital Rates - School'!H$18:W$44,2,FALSE),IF(N5="Medium",VLOOKUP(M5,'Maximum Capital Rates - School'!H$18:W$44,5,FALSE),IF(N5="Large",VLOOKUP(M5,'Maximum Capital Rates - School'!H$18:W$44,8,FALSE),IF(N5="X-Large",VLOOKUP(M5,'Maximum Capital Rates - School'!H$18:W$44,11,FALSE),IF(N5="Artic",VLOOKUP(M5,'Maximum Capital Rates - School'!H$18:W$44,14,FALSE))))))),-(HLOOKUP(N5,'Maximum Capital Rates - School'!A$18:F$44,M5+2,FALSE)+IF(AND(N5="Small",O5="YES"),IF(M5=0,10000,0),0)+V5+IF(T5="YES",IF(IF(N5="Small",VLOOKUP(M5,'Maximum Capital Rates - School'!H$18:W$44,2,FALSE),IF(N5="Medium",VLOOKUP(M5,'Maximum Capital Rates - School'!H$18:W$44,5,FALSE),IF(N5="Large",VLOOKUP(M5,'Maximum Capital Rates - School'!H$18:W$44,8,FALSE),IF(N5="X-Large",VLOOKUP(M5,'Maximum Capital Rates - School'!H$18:W$44,11,FALSE),IF(N5="Artic",VLOOKUP(M5,'Maximum Capital Rates - School'!H$18:W$44,14,FALSE))))))&gt;4,U5,0),0)),HLOOKUP(N5,'Maximum Capital Rates - School'!B$2:F$14,8,FALSE),0)+IF(OR(N5="Small",AD5="false"),0,VLOOKUP(M5,'Maximum Capital Rates - School'!A$18:G$44,7,FALSE)),(PMT(K5*HLOOKUP('Contract Amount Calc - School'!N5,'Maximum Capital Rates - School'!B$2:F$14,12,FALSE)+(K5+1.5%)*(1-HLOOKUP('Contract Amount Calc - School'!N5,'Maximum Capital Rates - School'!B$2:F$14,12,FALSE)),(IF(N5="Small",VLOOKUP(M5,'Maximum Capital Rates - School'!H$18:W$44,2,FALSE),IF(N5="Medium",VLOOKUP(M5,'Maximum Capital Rates - School'!H$18:W$44,5,FALSE),IF(N5="Large",VLOOKUP(M5,'Maximum Capital Rates - School'!H$18:W$44,8,FALSE),IF(N5="X-Large",VLOOKUP(M5,'Maximum Capital Rates - School'!H$18:W$44,11,FALSE),IF(N5="Artic",VLOOKUP(M5,'Maximum Capital Rates - School'!H$18:W$44,14,FALSE))))))),-(Q5+V5+IF(T5="YES",IF(IF(N5="Small",VLOOKUP(M5,'Maximum Capital Rates - School'!H$18:W$44,2,FALSE),IF(N5="Medium",VLOOKUP(M5,'Maximum Capital Rates - School'!H$18:W$44,5,FALSE),IF(N5="Large",VLOOKUP(M5,'Maximum Capital Rates - School'!H$18:W$44,8,FALSE),IF(N5="X-Large",VLOOKUP(M5,'Maximum Capital Rates - School'!H$18:W$44,11,FALSE),IF(N5="Artic",VLOOKUP(M5,'Maximum Capital Rates - School'!H$18:W$44,14,FALSE))))))&gt;4,U5,0),0)+HLOOKUP(N5,'Maximum Capital Rates - School'!B$2:F$14,6,FALSE)),HLOOKUP(N5,'Maximum Capital Rates - School'!B$2:F$14,8,FALSE),0)+IF(OR(N5="Small",AD5="false"),0,VLOOKUP(M5,'Maximum Capital Rates - School'!A$18:G$44,7,FALSE))))))))),0))</f>
        <v>0</v>
      </c>
      <c r="X5" s="216">
        <f ca="1">IF(R5="",0,IF(N5="Small",Sheet1!E$3,Sheet1!D$3)+Sheet1!D$4+IF(C$7="Yes",Sheet1!$D$10,0)+IF(S5="Yes",Sheet1!D$9,0)+IF(R5*Sheet1!C$5&lt;1046,1046*(1+Sheet1!C$67),IF(AND(F5="YES",R5&gt;Sheet1!E$5),(Sheet1!E$5*Sheet1!C$5)*(1+Sheet1!C$67),(R5*Sheet1!C$5)*(1+Sheet1!C$67)))+IF(M5&gt;Sheet1!C$6,2,1)*(Sheet1!D$6))</f>
        <v>0</v>
      </c>
      <c r="Y5" s="105" t="e">
        <f ca="1">IF(H5&gt;IF(PMT(K5*HLOOKUP('Contract Amount Calc - School'!N5,'Maximum Capital Rates - School'!B$2:F$14,12,FALSE)+(K5+1.5%)*(1-HLOOKUP('Contract Amount Calc - School'!N5,'Maximum Capital Rates - School'!B$2:F$14,12,FALSE)),(IF(N5="Small",VLOOKUP(M5,'Maximum Capital Rates - School'!H$18:W$44,2,FALSE),IF(N5="Medium",VLOOKUP(M5,'Maximum Capital Rates - School'!H$18:W$44,5,FALSE),IF(N5="Large",VLOOKUP(M5,'Maximum Capital Rates - School'!H$18:W$44,8,FALSE),IF(N5="X-Large",VLOOKUP(M5,'Maximum Capital Rates - School'!H$18:W$44,11,FALSE),IF(N5="Artic",VLOOKUP(M5,'Maximum Capital Rates - School'!H$18:W$44,14,FALSE))))))),-(Q5+V5+IF(T5="YES",IF(IF(N5="Small",VLOOKUP(M5,'Maximum Capital Rates - School'!H$18:W$44,2,FALSE),IF(N5="Medium",VLOOKUP(M5,'Maximum Capital Rates - School'!H$18:W$44,5,FALSE),IF(N5="Large",VLOOKUP(M5,'Maximum Capital Rates - School'!H$18:W$44,8,FALSE),IF(N5="X-Large",VLOOKUP(M5,'Maximum Capital Rates - School'!H$18:W$44,11,FALSE),IF(N5="Artic",VLOOKUP(M5,'Maximum Capital Rates - School'!H$18:W$44,14,FALSE))))))&gt;4,U5,0),0)+HLOOKUP(N5,'Maximum Capital Rates - School'!B$2:F$14,6,FALSE)),HLOOKUP(N5,'Maximum Capital Rates - School'!B$2:F$14,8,FALSE),0)+IF(OR(N5="Small",AD5="false"),0,VLOOKUP(M5,'Maximum Capital Rates - School'!A$18:G$44,7,FALSE))&gt;PMT(K5*HLOOKUP('Contract Amount Calc - School'!N5,'Maximum Capital Rates - School'!B$2:F$14,12,FALSE)+(K5+1.5%)*(1-HLOOKUP('Contract Amount Calc - School'!N5,'Maximum Capital Rates - School'!B$2:F$14,12,FALSE)),(IF(N5="Small",VLOOKUP(M5,'Maximum Capital Rates - School'!H$18:W$44,2,FALSE),IF(N5="Medium",VLOOKUP(M5,'Maximum Capital Rates - School'!H$18:W$44,5,FALSE),IF(N5="Large",VLOOKUP(M5,'Maximum Capital Rates - School'!H$18:W$44,8,FALSE),IF(N5="X-Large",VLOOKUP(M5,'Maximum Capital Rates - School'!H$18:W$44,11,FALSE),IF(N5="Artic",VLOOKUP(M5,'Maximum Capital Rates - School'!H$18:W$44,14,FALSE))))))),-(HLOOKUP(N5,'Maximum Capital Rates - School'!A$18:F$44,M5+2,FALSE)+IF(AND(N5="Small",O5="YES"),IF(M5=0,10000,0),0)+V5+IF(T5="YES",IF(IF(N5="Small",VLOOKUP(M5,'Maximum Capital Rates - School'!H$18:W$44,2,FALSE),IF(N5="Medium",VLOOKUP(M5,'Maximum Capital Rates - School'!H$18:W$44,5,FALSE),IF(N5="Large",VLOOKUP(M5,'Maximum Capital Rates - School'!H$18:W$44,8,FALSE),IF(N5="X-Large",VLOOKUP(M5,'Maximum Capital Rates - School'!H$18:W$44,11,FALSE),IF(N5="Artic",VLOOKUP(M5,'Maximum Capital Rates - School'!H$18:W$44,14,FALSE))))))&gt;4,U5,0),0)),HLOOKUP(N5,'Maximum Capital Rates - School'!B$2:F$14,8,FALSE),0)+IF(OR(N5="Small",AD5="false"),0,VLOOKUP(M5,'Maximum Capital Rates - School'!A$18:G$44,7,FALSE)),PMT(K5*HLOOKUP('Contract Amount Calc - School'!N5,'Maximum Capital Rates - School'!B$2:F$14,12,FALSE)+(K5+1.5%)*(1-HLOOKUP('Contract Amount Calc - School'!N5,'Maximum Capital Rates - School'!B$2:F$14,12,FALSE)),(IF(N5="Small",VLOOKUP(M5,'Maximum Capital Rates - School'!H$18:W$44,2,FALSE),IF(N5="Medium",VLOOKUP(M5,'Maximum Capital Rates - School'!H$18:W$44,5,FALSE),IF(N5="Large",VLOOKUP(M5,'Maximum Capital Rates - School'!H$18:W$44,8,FALSE),IF(N5="X-Large",VLOOKUP(M5,'Maximum Capital Rates - School'!H$18:W$44,11,FALSE),IF(N5="Artic",VLOOKUP(M5,'Maximum Capital Rates - School'!H$18:W$44,14,FALSE))))))),-(HLOOKUP(N5,'Maximum Capital Rates - School'!A$18:F$44,M5+2,FALSE)+IF(AND(N5="Small",O5="YES"),IF(M5=0,10000,0),0)+V5+IF(T5="YES",IF(IF(N5="Small",VLOOKUP(M5,'Maximum Capital Rates - School'!H$18:W$44,2,FALSE),IF(N5="Medium",VLOOKUP(M5,'Maximum Capital Rates - School'!H$18:W$44,5,FALSE),IF(N5="Large",VLOOKUP(M5,'Maximum Capital Rates - School'!H$18:W$44,8,FALSE),IF(N5="X-Large",VLOOKUP(M5,'Maximum Capital Rates - School'!H$18:W$44,11,FALSE),IF(N5="Artic",VLOOKUP(M5,'Maximum Capital Rates - School'!H$18:W$44,14,FALSE))))))&gt;4,U5,0),0)),HLOOKUP(N5,'Maximum Capital Rates - School'!B$2:F$14,8,FALSE),0)+IF(OR(N5="Small",AD5="false"),0,VLOOKUP(M5,'Maximum Capital Rates - School'!A$18:G$44,7,FALSE)),(PMT(K5*HLOOKUP('Contract Amount Calc - School'!N5,'Maximum Capital Rates - School'!B$2:F$14,12,FALSE)+(K5+1.5%)*(1-HLOOKUP('Contract Amount Calc - School'!N5,'Maximum Capital Rates - School'!B$2:F$14,12,FALSE)),(IF(N5="Small",VLOOKUP(M5,'Maximum Capital Rates - School'!H$18:W$44,2,FALSE),IF(N5="Medium",VLOOKUP(M5,'Maximum Capital Rates - School'!H$18:W$44,5,FALSE),IF(N5="Large",VLOOKUP(M5,'Maximum Capital Rates - School'!H$18:W$44,8,FALSE),IF(N5="X-Large",VLOOKUP(M5,'Maximum Capital Rates - School'!H$18:W$44,11,FALSE),IF(N5="Artic",VLOOKUP(M5,'Maximum Capital Rates - School'!H$18:W$44,14,FALSE))))))),-(Q5+V5+IF(T5="YES",IF(IF(N5="Small",VLOOKUP(M5,'Maximum Capital Rates - School'!H$18:W$44,2,FALSE),IF(N5="Medium",VLOOKUP(M5,'Maximum Capital Rates - School'!H$18:W$44,5,FALSE),IF(N5="Large",VLOOKUP(M5,'Maximum Capital Rates - School'!H$18:W$44,8,FALSE),IF(N5="X-Large",VLOOKUP(M5,'Maximum Capital Rates - School'!H$18:W$44,11,FALSE),IF(N5="Artic",VLOOKUP(M5,'Maximum Capital Rates - School'!H$18:W$44,14,FALSE))))))&gt;4,U5,0),0)+HLOOKUP(N5,'Maximum Capital Rates - School'!B$2:F$14,6,FALSE)),HLOOKUP(N5,'Maximum Capital Rates - School'!B$2:F$14,8,FALSE),0)+IF(OR(N5="Small",AD5="false"),0,VLOOKUP(M5,'Maximum Capital Rates - School'!A$18:G$44,7,FALSE)))),Z5,H5)</f>
        <v>#N/A</v>
      </c>
      <c r="Z5" s="124" t="e">
        <f ca="1">IF(PMT(K5*HLOOKUP('Contract Amount Calc - School'!N5,'Maximum Capital Rates - School'!B$2:F$14,12,FALSE)+(K5+1.5%)*(1-HLOOKUP('Contract Amount Calc - School'!N5,'Maximum Capital Rates - School'!B$2:F$14,12,FALSE)),(IF(N5="Small",VLOOKUP(M5,'Maximum Capital Rates - School'!H$18:W$44,2,FALSE),IF(N5="Medium",VLOOKUP(M5,'Maximum Capital Rates - School'!H$18:W$44,5,FALSE),IF(N5="Large",VLOOKUP(M5,'Maximum Capital Rates - School'!H$18:W$44,8,FALSE),IF(N5="X-Large",VLOOKUP(M5,'Maximum Capital Rates - School'!H$18:W$44,11,FALSE),IF(N5="Artic",VLOOKUP(M5,'Maximum Capital Rates - School'!H$18:W$44,14,FALSE))))))),-(Q5+V5+IF(T5="YES",IF(IF(N5="Small",VLOOKUP(M5,'Maximum Capital Rates - School'!H$18:W$44,2,FALSE),IF(N5="Medium",VLOOKUP(M5,'Maximum Capital Rates - School'!H$18:W$44,5,FALSE),IF(N5="Large",VLOOKUP(M5,'Maximum Capital Rates - School'!H$18:W$44,8,FALSE),IF(N5="X-Large",VLOOKUP(M5,'Maximum Capital Rates - School'!H$18:W$44,11,FALSE),IF(N5="Artic",VLOOKUP(M5,'Maximum Capital Rates - School'!H$18:W$44,14,FALSE))))))&gt;4,U5,0),0)+HLOOKUP(N5,'Maximum Capital Rates - School'!B$2:F$14,6,FALSE)),HLOOKUP(N5,'Maximum Capital Rates - School'!B$2:F$14,8,FALSE),0)+IF(OR(N5="Small",AD5="false"),0,VLOOKUP(M5,'Maximum Capital Rates - School'!A$18:G$44,7,FALSE))&gt;PMT(K5*HLOOKUP('Contract Amount Calc - School'!N5,'Maximum Capital Rates - School'!B$2:F$14,12,FALSE)+(K5+1.5%)*(1-HLOOKUP('Contract Amount Calc - School'!N5,'Maximum Capital Rates - School'!B$2:F$14,12,FALSE)),(IF(N5="Small",VLOOKUP(M5,'Maximum Capital Rates - School'!H$18:W$44,2,FALSE),IF(N5="Medium",VLOOKUP(M5,'Maximum Capital Rates - School'!H$18:W$44,5,FALSE),IF(N5="Large",VLOOKUP(M5,'Maximum Capital Rates - School'!H$18:W$44,8,FALSE),IF(N5="X-Large",VLOOKUP(M5,'Maximum Capital Rates - School'!H$18:W$44,11,FALSE),IF(N5="Artic",VLOOKUP(M5,'Maximum Capital Rates - School'!H$18:W$44,14,FALSE))))))),-(HLOOKUP(N5,'Maximum Capital Rates - School'!A$18:F$44,M5+2,FALSE)+IF(AND(N5="Small",O5="YES"),IF(M5=0,10000,0),0)+V5+IF(T5="YES",IF(IF(N5="Small",VLOOKUP(M5,'Maximum Capital Rates - School'!H$18:W$44,2,FALSE),IF(N5="Medium",VLOOKUP(M5,'Maximum Capital Rates - School'!H$18:W$44,5,FALSE),IF(N5="Large",VLOOKUP(M5,'Maximum Capital Rates - School'!H$18:W$44,8,FALSE),IF(N5="X-Large",VLOOKUP(M5,'Maximum Capital Rates - School'!H$18:W$44,11,FALSE),IF(N5="Artic",VLOOKUP(M5,'Maximum Capital Rates - School'!H$18:W$44,14,FALSE))))))&gt;4,U5,0),0)),HLOOKUP(N5,'Maximum Capital Rates - School'!B$2:F$14,8,FALSE),0)+IF(OR(N5="Small",AD5="false"),0,VLOOKUP(M5,'Maximum Capital Rates - School'!A$18:G$44,7,FALSE)),PMT(K5*HLOOKUP('Contract Amount Calc - School'!N5,'Maximum Capital Rates - School'!B$2:F$14,12,FALSE)+(K5+1.5%)*(1-HLOOKUP('Contract Amount Calc - School'!N5,'Maximum Capital Rates - School'!B$2:F$14,12,FALSE)),(IF(N5="Small",VLOOKUP(M5,'Maximum Capital Rates - School'!H$18:W$44,2,FALSE),IF(N5="Medium",VLOOKUP(M5,'Maximum Capital Rates - School'!H$18:W$44,5,FALSE),IF(N5="Large",VLOOKUP(M5,'Maximum Capital Rates - School'!H$18:W$44,8,FALSE),IF(N5="X-Large",VLOOKUP(M5,'Maximum Capital Rates - School'!H$18:W$44,11,FALSE),IF(N5="Artic",VLOOKUP(M5,'Maximum Capital Rates - School'!H$18:W$44,14,FALSE))))))),-(HLOOKUP(N5,'Maximum Capital Rates - School'!A$18:F$44,M5+2,FALSE)+IF(AND(N5="Small",O5="YES"),IF(M5=0,10000,0),0)+V5+IF(T5="YES",IF(IF(N5="Small",VLOOKUP(M5,'Maximum Capital Rates - School'!H$18:W$44,2,FALSE),IF(N5="Medium",VLOOKUP(M5,'Maximum Capital Rates - School'!H$18:W$44,5,FALSE),IF(N5="Large",VLOOKUP(M5,'Maximum Capital Rates - School'!H$18:W$44,8,FALSE),IF(N5="X-Large",VLOOKUP(M5,'Maximum Capital Rates - School'!H$18:W$44,11,FALSE),IF(N5="Artic",VLOOKUP(M5,'Maximum Capital Rates - School'!H$18:W$44,14,FALSE))))))&gt;4,U5,0),0)),HLOOKUP(N5,'Maximum Capital Rates - School'!B$2:F$14,8,FALSE),0)+IF(OR(N5="Small",AD5="false"),0,VLOOKUP(M5,'Maximum Capital Rates - School'!A$18:G$44,7,FALSE)),(PMT(K5*HLOOKUP('Contract Amount Calc - School'!N5,'Maximum Capital Rates - School'!B$2:F$14,12,FALSE)+(K5+1.5%)*(1-HLOOKUP('Contract Amount Calc - School'!N5,'Maximum Capital Rates - School'!B$2:F$14,12,FALSE)),(IF(N5="Small",VLOOKUP(M5,'Maximum Capital Rates - School'!H$18:W$44,2,FALSE),IF(N5="Medium",VLOOKUP(M5,'Maximum Capital Rates - School'!H$18:W$44,5,FALSE),IF(N5="Large",VLOOKUP(M5,'Maximum Capital Rates - School'!H$18:W$44,8,FALSE),IF(N5="X-Large",VLOOKUP(M5,'Maximum Capital Rates - School'!H$18:W$44,11,FALSE),IF(N5="Artic",VLOOKUP(M5,'Maximum Capital Rates - School'!H$18:W$44,14,FALSE))))))),-(Q5+V5+IF(T5="YES",IF(IF(N5="Small",VLOOKUP(M5,'Maximum Capital Rates - School'!H$18:W$44,2,FALSE),IF(N5="Medium",VLOOKUP(M5,'Maximum Capital Rates - School'!H$18:W$44,5,FALSE),IF(N5="Large",VLOOKUP(M5,'Maximum Capital Rates - School'!H$18:W$44,8,FALSE),IF(N5="X-Large",VLOOKUP(M5,'Maximum Capital Rates - School'!H$18:W$44,11,FALSE),IF(N5="Artic",VLOOKUP(M5,'Maximum Capital Rates - School'!H$18:W$44,14,FALSE))))))&gt;4,U5,0),0)+HLOOKUP(N5,'Maximum Capital Rates - School'!B$2:F$14,6,FALSE)),HLOOKUP(N5,'Maximum Capital Rates - School'!B$2:F$14,8,FALSE),0)+IF(OR(N5="Small",AD5="false"),0,VLOOKUP(M5,'Maximum Capital Rates - School'!A$18:G$44,7,FALSE))))</f>
        <v>#N/A</v>
      </c>
      <c r="AA5" s="1">
        <f>IF(F5="YES",200000,IF(N5="Small",ROUND(VLOOKUP(M5,'Maximum Capital Rates - School'!A$18:F$44,2,FALSE),0),IF(N5="Medium",ROUND(VLOOKUP(M5,'Maximum Capital Rates - School'!A$18:F$44,3,FALSE),0),IF(N5="Large",ROUND(VLOOKUP(M5,'Maximum Capital Rates - School'!A$18:F$44,4,FALSE),0),IF(N5="X-Large",ROUND(VLOOKUP(M5,'Maximum Capital Rates - School'!A$18:F$44,5,FALSE),0),IF(N5="Artic",ROUND(VLOOKUP(M5,'Maximum Capital Rates - School'!A$18:F$44,6,FALSE),0))))))+IF(AND(N5="Small",O5="YES"),IF(M5=0,10000,0),0))</f>
        <v>0</v>
      </c>
      <c r="AB5" s="105" t="str">
        <f t="shared" si="1"/>
        <v>true</v>
      </c>
      <c r="AC5" s="1" t="str">
        <f>IF(J5&lt;2019,"true","false")</f>
        <v>true</v>
      </c>
      <c r="AD5" s="1" t="str">
        <f>IF(AND(AB5="true",AC5="true"),"false","true")</f>
        <v>false</v>
      </c>
      <c r="JF5"/>
    </row>
    <row r="6" spans="1:266" x14ac:dyDescent="0.35">
      <c r="A6" s="106"/>
      <c r="B6" s="126" t="s">
        <v>121</v>
      </c>
      <c r="C6" s="132" t="s">
        <v>120</v>
      </c>
      <c r="D6" s="111"/>
      <c r="E6" s="217"/>
      <c r="F6" s="134" t="s">
        <v>120</v>
      </c>
      <c r="G6" s="134" t="s">
        <v>120</v>
      </c>
      <c r="H6" s="135"/>
      <c r="I6" s="235"/>
      <c r="J6" s="236"/>
      <c r="K6" s="257"/>
      <c r="L6" s="134"/>
      <c r="M6" s="181" t="str">
        <f t="shared" ca="1" si="0"/>
        <v/>
      </c>
      <c r="N6" s="134" t="s">
        <v>120</v>
      </c>
      <c r="O6" s="175" t="s">
        <v>5</v>
      </c>
      <c r="P6" s="136"/>
      <c r="Q6" s="261" t="str">
        <f ca="1">IF(P6="","",IF(L6="",0,(P6-((P6-HLOOKUP(N6,'Maximum Capital Rates - School'!$A$2:$F$14,8,FALSE))/(HLOOKUP(N6,'Maximum Capital Rates - School'!$A$2:$F$14,4,FALSE)-(J6-L6)))*((YEAR(TODAY())-L6)-(J6-L6)))))</f>
        <v/>
      </c>
      <c r="R6" s="208" t="str">
        <f ca="1">IF(Q6="","",IF(OR(N6="Small",F6="YES"),Q6,IF(Q6+V6+HLOOKUP(N6,'Maximum Capital Rates - School'!$A$2:$F$14,6,FALSE)&gt;AA6,AA6,Q6+V6+HLOOKUP(N6,'Maximum Capital Rates - School'!$A$2:$F$14,6,FALSE))))</f>
        <v/>
      </c>
      <c r="S6" s="175" t="s">
        <v>5</v>
      </c>
      <c r="T6" s="136" t="s">
        <v>5</v>
      </c>
      <c r="U6" s="136"/>
      <c r="V6" s="136"/>
      <c r="W6" s="144">
        <f ca="1">IF($C$3="Novation",Y6,IFERROR((IF(OR(E6="",Q6=""),0,IF(F6="YES",IF(H6&gt;5, IF(AND(C$2="Special Needs Bus Service",M6&gt;10,M6&lt;16),9560.23,IF(AND(N6="Small",M6&gt;10),0,IF(M6&lt;26,H6,0))),IF(AND(N6="Small",G6="Urban/Town",M6&lt;16),H6*7360,IF(AND(N6="Small",M6&lt;11),H6*7360,IF(AND(N6="Medium",N6="Large",N6="X-Large",G6="Urban/Town",M6&lt;28),H6*10304,IF(AND(N6="Medium",M6&lt;21),H6*10304,IF(AND(N6="Medium",M6=21),'Maximum Capital Rates - School'!N$50,IF(AND(N6="Medium",M6=22),'Maximum Capital Rates - School'!N$51,IF(AND(N6="Large",M6&lt;21),H6*14720,IF(AND(N6="Large",M6=21),'Maximum Capital Rates - School'!Q$50,IF(AND(N6="Large",M6=22),'Maximum Capital Rates - School'!Q$51,IF(AND(N6="X-Large",M6&lt;21),H6*17664,IF(AND(N6="X-Large",M6=21),'Maximum Capital Rates - School'!T$50,IF(AND(N6="X-Large",M6=22),'Maximum Capital Rates - School'!T$51,IF(AND(N6="Artic",M6&lt;31),H6*20608,IF("FALSE",0,))))))))))))))),IF(AND(N6="Artic",M6&gt;25),0,IF(M6&gt;20,0,IF(PMT(K6*HLOOKUP('Contract Amount Calc - School'!N6,'Maximum Capital Rates - School'!B$2:F$14,12,FALSE)+(K6+1.5%)*(1-HLOOKUP('Contract Amount Calc - School'!N6,'Maximum Capital Rates - School'!B$2:F$14,12,FALSE)),(IF(N6="Small",VLOOKUP(M6,'Maximum Capital Rates - School'!H$18:W$44,2,FALSE),IF(N6="Medium",VLOOKUP(M6,'Maximum Capital Rates - School'!H$18:W$44,5,FALSE),IF(N6="Large",VLOOKUP(M6,'Maximum Capital Rates - School'!H$18:W$44,8,FALSE),IF(N6="X-Large",VLOOKUP(M6,'Maximum Capital Rates - School'!H$18:W$44,11,FALSE),IF(N6="Artic",VLOOKUP(M6,'Maximum Capital Rates - School'!H$18:W$44,14,FALSE))))))),-(Q6+V6+IF(T6="YES",IF(IF(N6="Small",VLOOKUP(M6,'Maximum Capital Rates - School'!H$18:W$44,2,FALSE),IF(N6="Medium",VLOOKUP(M6,'Maximum Capital Rates - School'!H$18:W$44,5,FALSE),IF(N6="Large",VLOOKUP(M6,'Maximum Capital Rates - School'!H$18:W$44,8,FALSE),IF(N6="X-Large",VLOOKUP(M6,'Maximum Capital Rates - School'!H$18:W$44,11,FALSE),IF(N6="Artic",VLOOKUP(M6,'Maximum Capital Rates - School'!H$18:W$44,14,FALSE))))))&gt;4,U6,0),0)+HLOOKUP(N6,'Maximum Capital Rates - School'!B$2:F$14,6,FALSE)),HLOOKUP(N6,'Maximum Capital Rates - School'!B$2:F$14,8,FALSE),0)+IF(OR(N6="Small",AD6="false"),0,VLOOKUP(M6,'Maximum Capital Rates - School'!A$18:G$44,7,FALSE))&gt;PMT(K6*HLOOKUP('Contract Amount Calc - School'!N6,'Maximum Capital Rates - School'!B$2:F$14,12,FALSE)+(K6+1.5%)*(1-HLOOKUP('Contract Amount Calc - School'!N6,'Maximum Capital Rates - School'!B$2:F$14,12,FALSE)),(IF(N6="Small",VLOOKUP(M6,'Maximum Capital Rates - School'!H$18:W$44,2,FALSE),IF(N6="Medium",VLOOKUP(M6,'Maximum Capital Rates - School'!H$18:W$44,5,FALSE),IF(N6="Large",VLOOKUP(M6,'Maximum Capital Rates - School'!H$18:W$44,8,FALSE),IF(N6="X-Large",VLOOKUP(M6,'Maximum Capital Rates - School'!H$18:W$44,11,FALSE),IF(N6="Artic",VLOOKUP(M6,'Maximum Capital Rates - School'!H$18:W$44,14,FALSE))))))),-(HLOOKUP(N6,'Maximum Capital Rates - School'!A$18:F$44,M6+2,FALSE)+IF(AND(N6="Small",O6="YES"),IF(M6=0,10000,0),0)+V6+IF(T6="YES",IF(IF(N6="Small",VLOOKUP(M6,'Maximum Capital Rates - School'!H$18:W$44,2,FALSE),IF(N6="Medium",VLOOKUP(M6,'Maximum Capital Rates - School'!H$18:W$44,5,FALSE),IF(N6="Large",VLOOKUP(M6,'Maximum Capital Rates - School'!H$18:W$44,8,FALSE),IF(N6="X-Large",VLOOKUP(M6,'Maximum Capital Rates - School'!H$18:W$44,11,FALSE),IF(N6="Artic",VLOOKUP(M6,'Maximum Capital Rates - School'!H$18:W$44,14,FALSE))))))&gt;4,U6,0),0)),HLOOKUP(N6,'Maximum Capital Rates - School'!B$2:F$14,8,FALSE),0)+IF(OR(N6="Small",AD6="false"),0,VLOOKUP(M6,'Maximum Capital Rates - School'!A$18:G$44,7,FALSE)),PMT(K6*HLOOKUP('Contract Amount Calc - School'!N6,'Maximum Capital Rates - School'!B$2:F$14,12,FALSE)+(K6+1.5%)*(1-HLOOKUP('Contract Amount Calc - School'!N6,'Maximum Capital Rates - School'!B$2:F$14,12,FALSE)),(IF(N6="Small",VLOOKUP(M6,'Maximum Capital Rates - School'!H$18:W$44,2,FALSE),IF(N6="Medium",VLOOKUP(M6,'Maximum Capital Rates - School'!H$18:W$44,5,FALSE),IF(N6="Large",VLOOKUP(M6,'Maximum Capital Rates - School'!H$18:W$44,8,FALSE),IF(N6="X-Large",VLOOKUP(M6,'Maximum Capital Rates - School'!H$18:W$44,11,FALSE),IF(N6="Artic",VLOOKUP(M6,'Maximum Capital Rates - School'!H$18:W$44,14,FALSE))))))),-(HLOOKUP(N6,'Maximum Capital Rates - School'!A$18:F$44,M6+2,FALSE)+IF(AND(N6="Small",O6="YES"),IF(M6=0,10000,0),0)+V6+IF(T6="YES",IF(IF(N6="Small",VLOOKUP(M6,'Maximum Capital Rates - School'!H$18:W$44,2,FALSE),IF(N6="Medium",VLOOKUP(M6,'Maximum Capital Rates - School'!H$18:W$44,5,FALSE),IF(N6="Large",VLOOKUP(M6,'Maximum Capital Rates - School'!H$18:W$44,8,FALSE),IF(N6="X-Large",VLOOKUP(M6,'Maximum Capital Rates - School'!H$18:W$44,11,FALSE),IF(N6="Artic",VLOOKUP(M6,'Maximum Capital Rates - School'!H$18:W$44,14,FALSE))))))&gt;4,U6,0),0)),HLOOKUP(N6,'Maximum Capital Rates - School'!B$2:F$14,8,FALSE),0)+IF(OR(N6="Small",AD6="false"),0,VLOOKUP(M6,'Maximum Capital Rates - School'!A$18:G$44,7,FALSE)),(PMT(K6*HLOOKUP('Contract Amount Calc - School'!N6,'Maximum Capital Rates - School'!B$2:F$14,12,FALSE)+(K6+1.5%)*(1-HLOOKUP('Contract Amount Calc - School'!N6,'Maximum Capital Rates - School'!B$2:F$14,12,FALSE)),(IF(N6="Small",VLOOKUP(M6,'Maximum Capital Rates - School'!H$18:W$44,2,FALSE),IF(N6="Medium",VLOOKUP(M6,'Maximum Capital Rates - School'!H$18:W$44,5,FALSE),IF(N6="Large",VLOOKUP(M6,'Maximum Capital Rates - School'!H$18:W$44,8,FALSE),IF(N6="X-Large",VLOOKUP(M6,'Maximum Capital Rates - School'!H$18:W$44,11,FALSE),IF(N6="Artic",VLOOKUP(M6,'Maximum Capital Rates - School'!H$18:W$44,14,FALSE))))))),-(Q6+V6+IF(T6="YES",IF(IF(N6="Small",VLOOKUP(M6,'Maximum Capital Rates - School'!H$18:W$44,2,FALSE),IF(N6="Medium",VLOOKUP(M6,'Maximum Capital Rates - School'!H$18:W$44,5,FALSE),IF(N6="Large",VLOOKUP(M6,'Maximum Capital Rates - School'!H$18:W$44,8,FALSE),IF(N6="X-Large",VLOOKUP(M6,'Maximum Capital Rates - School'!H$18:W$44,11,FALSE),IF(N6="Artic",VLOOKUP(M6,'Maximum Capital Rates - School'!H$18:W$44,14,FALSE))))))&gt;4,U6,0),0)+HLOOKUP(N6,'Maximum Capital Rates - School'!B$2:F$14,6,FALSE)),HLOOKUP(N6,'Maximum Capital Rates - School'!B$2:F$14,8,FALSE),0)+IF(OR(N6="Small",AD6="false"),0,VLOOKUP(M6,'Maximum Capital Rates - School'!A$18:G$44,7,FALSE))))))))),0))</f>
        <v>0</v>
      </c>
      <c r="X6" s="216">
        <f ca="1">IF(R6="",0,IF(N6="Small",Sheet1!E$3,Sheet1!D$3)+Sheet1!D$4+IF(C$7="Yes",Sheet1!$D$10,0)+IF(S6="Yes",Sheet1!D$9,0)+IF(R6*Sheet1!C$5&lt;1046,1046*(1+Sheet1!C$67),IF(AND(F6="YES",R6&gt;Sheet1!E$5),(Sheet1!E$5*Sheet1!C$5)*(1+Sheet1!C$67),(R6*Sheet1!C$5)*(1+Sheet1!C$67)))+IF(M6&gt;Sheet1!C$6,2,1)*(Sheet1!D$6))</f>
        <v>0</v>
      </c>
      <c r="Y6" s="105" t="e">
        <f ca="1">IF(H6&gt;IF(PMT(K6*HLOOKUP('Contract Amount Calc - School'!N6,'Maximum Capital Rates - School'!B$2:F$14,12,FALSE)+(K6+1.5%)*(1-HLOOKUP('Contract Amount Calc - School'!N6,'Maximum Capital Rates - School'!B$2:F$14,12,FALSE)),(IF(N6="Small",VLOOKUP(M6,'Maximum Capital Rates - School'!H$18:W$44,2,FALSE),IF(N6="Medium",VLOOKUP(M6,'Maximum Capital Rates - School'!H$18:W$44,5,FALSE),IF(N6="Large",VLOOKUP(M6,'Maximum Capital Rates - School'!H$18:W$44,8,FALSE),IF(N6="X-Large",VLOOKUP(M6,'Maximum Capital Rates - School'!H$18:W$44,11,FALSE),IF(N6="Artic",VLOOKUP(M6,'Maximum Capital Rates - School'!H$18:W$44,14,FALSE))))))),-(Q6+V6+IF(T6="YES",IF(IF(N6="Small",VLOOKUP(M6,'Maximum Capital Rates - School'!H$18:W$44,2,FALSE),IF(N6="Medium",VLOOKUP(M6,'Maximum Capital Rates - School'!H$18:W$44,5,FALSE),IF(N6="Large",VLOOKUP(M6,'Maximum Capital Rates - School'!H$18:W$44,8,FALSE),IF(N6="X-Large",VLOOKUP(M6,'Maximum Capital Rates - School'!H$18:W$44,11,FALSE),IF(N6="Artic",VLOOKUP(M6,'Maximum Capital Rates - School'!H$18:W$44,14,FALSE))))))&gt;4,U6,0),0)+HLOOKUP(N6,'Maximum Capital Rates - School'!B$2:F$14,6,FALSE)),HLOOKUP(N6,'Maximum Capital Rates - School'!B$2:F$14,8,FALSE),0)+IF(OR(N6="Small",AD6="false"),0,VLOOKUP(M6,'Maximum Capital Rates - School'!A$18:G$44,7,FALSE))&gt;PMT(K6*HLOOKUP('Contract Amount Calc - School'!N6,'Maximum Capital Rates - School'!B$2:F$14,12,FALSE)+(K6+1.5%)*(1-HLOOKUP('Contract Amount Calc - School'!N6,'Maximum Capital Rates - School'!B$2:F$14,12,FALSE)),(IF(N6="Small",VLOOKUP(M6,'Maximum Capital Rates - School'!H$18:W$44,2,FALSE),IF(N6="Medium",VLOOKUP(M6,'Maximum Capital Rates - School'!H$18:W$44,5,FALSE),IF(N6="Large",VLOOKUP(M6,'Maximum Capital Rates - School'!H$18:W$44,8,FALSE),IF(N6="X-Large",VLOOKUP(M6,'Maximum Capital Rates - School'!H$18:W$44,11,FALSE),IF(N6="Artic",VLOOKUP(M6,'Maximum Capital Rates - School'!H$18:W$44,14,FALSE))))))),-(HLOOKUP(N6,'Maximum Capital Rates - School'!A$18:F$44,M6+2,FALSE)+IF(AND(N6="Small",O6="YES"),IF(M6=0,10000,0),0)+V6+IF(T6="YES",IF(IF(N6="Small",VLOOKUP(M6,'Maximum Capital Rates - School'!H$18:W$44,2,FALSE),IF(N6="Medium",VLOOKUP(M6,'Maximum Capital Rates - School'!H$18:W$44,5,FALSE),IF(N6="Large",VLOOKUP(M6,'Maximum Capital Rates - School'!H$18:W$44,8,FALSE),IF(N6="X-Large",VLOOKUP(M6,'Maximum Capital Rates - School'!H$18:W$44,11,FALSE),IF(N6="Artic",VLOOKUP(M6,'Maximum Capital Rates - School'!H$18:W$44,14,FALSE))))))&gt;4,U6,0),0)),HLOOKUP(N6,'Maximum Capital Rates - School'!B$2:F$14,8,FALSE),0)+IF(OR(N6="Small",AD6="false"),0,VLOOKUP(M6,'Maximum Capital Rates - School'!A$18:G$44,7,FALSE)),PMT(K6*HLOOKUP('Contract Amount Calc - School'!N6,'Maximum Capital Rates - School'!B$2:F$14,12,FALSE)+(K6+1.5%)*(1-HLOOKUP('Contract Amount Calc - School'!N6,'Maximum Capital Rates - School'!B$2:F$14,12,FALSE)),(IF(N6="Small",VLOOKUP(M6,'Maximum Capital Rates - School'!H$18:W$44,2,FALSE),IF(N6="Medium",VLOOKUP(M6,'Maximum Capital Rates - School'!H$18:W$44,5,FALSE),IF(N6="Large",VLOOKUP(M6,'Maximum Capital Rates - School'!H$18:W$44,8,FALSE),IF(N6="X-Large",VLOOKUP(M6,'Maximum Capital Rates - School'!H$18:W$44,11,FALSE),IF(N6="Artic",VLOOKUP(M6,'Maximum Capital Rates - School'!H$18:W$44,14,FALSE))))))),-(HLOOKUP(N6,'Maximum Capital Rates - School'!A$18:F$44,M6+2,FALSE)+IF(AND(N6="Small",O6="YES"),IF(M6=0,10000,0),0)+V6+IF(T6="YES",IF(IF(N6="Small",VLOOKUP(M6,'Maximum Capital Rates - School'!H$18:W$44,2,FALSE),IF(N6="Medium",VLOOKUP(M6,'Maximum Capital Rates - School'!H$18:W$44,5,FALSE),IF(N6="Large",VLOOKUP(M6,'Maximum Capital Rates - School'!H$18:W$44,8,FALSE),IF(N6="X-Large",VLOOKUP(M6,'Maximum Capital Rates - School'!H$18:W$44,11,FALSE),IF(N6="Artic",VLOOKUP(M6,'Maximum Capital Rates - School'!H$18:W$44,14,FALSE))))))&gt;4,U6,0),0)),HLOOKUP(N6,'Maximum Capital Rates - School'!B$2:F$14,8,FALSE),0)+IF(OR(N6="Small",AD6="false"),0,VLOOKUP(M6,'Maximum Capital Rates - School'!A$18:G$44,7,FALSE)),(PMT(K6*HLOOKUP('Contract Amount Calc - School'!N6,'Maximum Capital Rates - School'!B$2:F$14,12,FALSE)+(K6+1.5%)*(1-HLOOKUP('Contract Amount Calc - School'!N6,'Maximum Capital Rates - School'!B$2:F$14,12,FALSE)),(IF(N6="Small",VLOOKUP(M6,'Maximum Capital Rates - School'!H$18:W$44,2,FALSE),IF(N6="Medium",VLOOKUP(M6,'Maximum Capital Rates - School'!H$18:W$44,5,FALSE),IF(N6="Large",VLOOKUP(M6,'Maximum Capital Rates - School'!H$18:W$44,8,FALSE),IF(N6="X-Large",VLOOKUP(M6,'Maximum Capital Rates - School'!H$18:W$44,11,FALSE),IF(N6="Artic",VLOOKUP(M6,'Maximum Capital Rates - School'!H$18:W$44,14,FALSE))))))),-(Q6+V6+IF(T6="YES",IF(IF(N6="Small",VLOOKUP(M6,'Maximum Capital Rates - School'!H$18:W$44,2,FALSE),IF(N6="Medium",VLOOKUP(M6,'Maximum Capital Rates - School'!H$18:W$44,5,FALSE),IF(N6="Large",VLOOKUP(M6,'Maximum Capital Rates - School'!H$18:W$44,8,FALSE),IF(N6="X-Large",VLOOKUP(M6,'Maximum Capital Rates - School'!H$18:W$44,11,FALSE),IF(N6="Artic",VLOOKUP(M6,'Maximum Capital Rates - School'!H$18:W$44,14,FALSE))))))&gt;4,U6,0),0)+HLOOKUP(N6,'Maximum Capital Rates - School'!B$2:F$14,6,FALSE)),HLOOKUP(N6,'Maximum Capital Rates - School'!B$2:F$14,8,FALSE),0)+IF(OR(N6="Small",AD6="false"),0,VLOOKUP(M6,'Maximum Capital Rates - School'!A$18:G$44,7,FALSE)))),Z6,H6)</f>
        <v>#N/A</v>
      </c>
      <c r="Z6" s="124" t="e">
        <f ca="1">IF(PMT(K6*HLOOKUP('Contract Amount Calc - School'!N6,'Maximum Capital Rates - School'!B$2:F$14,12,FALSE)+(K6+1.5%)*(1-HLOOKUP('Contract Amount Calc - School'!N6,'Maximum Capital Rates - School'!B$2:F$14,12,FALSE)),(IF(N6="Small",VLOOKUP(M6,'Maximum Capital Rates - School'!H$18:W$44,2,FALSE),IF(N6="Medium",VLOOKUP(M6,'Maximum Capital Rates - School'!H$18:W$44,5,FALSE),IF(N6="Large",VLOOKUP(M6,'Maximum Capital Rates - School'!H$18:W$44,8,FALSE),IF(N6="X-Large",VLOOKUP(M6,'Maximum Capital Rates - School'!H$18:W$44,11,FALSE),IF(N6="Artic",VLOOKUP(M6,'Maximum Capital Rates - School'!H$18:W$44,14,FALSE))))))),-(Q6+V6+IF(T6="YES",IF(IF(N6="Small",VLOOKUP(M6,'Maximum Capital Rates - School'!H$18:W$44,2,FALSE),IF(N6="Medium",VLOOKUP(M6,'Maximum Capital Rates - School'!H$18:W$44,5,FALSE),IF(N6="Large",VLOOKUP(M6,'Maximum Capital Rates - School'!H$18:W$44,8,FALSE),IF(N6="X-Large",VLOOKUP(M6,'Maximum Capital Rates - School'!H$18:W$44,11,FALSE),IF(N6="Artic",VLOOKUP(M6,'Maximum Capital Rates - School'!H$18:W$44,14,FALSE))))))&gt;4,U6,0),0)+HLOOKUP(N6,'Maximum Capital Rates - School'!B$2:F$14,6,FALSE)),HLOOKUP(N6,'Maximum Capital Rates - School'!B$2:F$14,8,FALSE),0)+IF(OR(N6="Small",AD6="false"),0,VLOOKUP(M6,'Maximum Capital Rates - School'!A$18:G$44,7,FALSE))&gt;PMT(K6*HLOOKUP('Contract Amount Calc - School'!N6,'Maximum Capital Rates - School'!B$2:F$14,12,FALSE)+(K6+1.5%)*(1-HLOOKUP('Contract Amount Calc - School'!N6,'Maximum Capital Rates - School'!B$2:F$14,12,FALSE)),(IF(N6="Small",VLOOKUP(M6,'Maximum Capital Rates - School'!H$18:W$44,2,FALSE),IF(N6="Medium",VLOOKUP(M6,'Maximum Capital Rates - School'!H$18:W$44,5,FALSE),IF(N6="Large",VLOOKUP(M6,'Maximum Capital Rates - School'!H$18:W$44,8,FALSE),IF(N6="X-Large",VLOOKUP(M6,'Maximum Capital Rates - School'!H$18:W$44,11,FALSE),IF(N6="Artic",VLOOKUP(M6,'Maximum Capital Rates - School'!H$18:W$44,14,FALSE))))))),-(HLOOKUP(N6,'Maximum Capital Rates - School'!A$18:F$44,M6+2,FALSE)+IF(AND(N6="Small",O6="YES"),IF(M6=0,10000,0),0)+V6+IF(T6="YES",IF(IF(N6="Small",VLOOKUP(M6,'Maximum Capital Rates - School'!H$18:W$44,2,FALSE),IF(N6="Medium",VLOOKUP(M6,'Maximum Capital Rates - School'!H$18:W$44,5,FALSE),IF(N6="Large",VLOOKUP(M6,'Maximum Capital Rates - School'!H$18:W$44,8,FALSE),IF(N6="X-Large",VLOOKUP(M6,'Maximum Capital Rates - School'!H$18:W$44,11,FALSE),IF(N6="Artic",VLOOKUP(M6,'Maximum Capital Rates - School'!H$18:W$44,14,FALSE))))))&gt;4,U6,0),0)),HLOOKUP(N6,'Maximum Capital Rates - School'!B$2:F$14,8,FALSE),0)+IF(OR(N6="Small",AD6="false"),0,VLOOKUP(M6,'Maximum Capital Rates - School'!A$18:G$44,7,FALSE)),PMT(K6*HLOOKUP('Contract Amount Calc - School'!N6,'Maximum Capital Rates - School'!B$2:F$14,12,FALSE)+(K6+1.5%)*(1-HLOOKUP('Contract Amount Calc - School'!N6,'Maximum Capital Rates - School'!B$2:F$14,12,FALSE)),(IF(N6="Small",VLOOKUP(M6,'Maximum Capital Rates - School'!H$18:W$44,2,FALSE),IF(N6="Medium",VLOOKUP(M6,'Maximum Capital Rates - School'!H$18:W$44,5,FALSE),IF(N6="Large",VLOOKUP(M6,'Maximum Capital Rates - School'!H$18:W$44,8,FALSE),IF(N6="X-Large",VLOOKUP(M6,'Maximum Capital Rates - School'!H$18:W$44,11,FALSE),IF(N6="Artic",VLOOKUP(M6,'Maximum Capital Rates - School'!H$18:W$44,14,FALSE))))))),-(HLOOKUP(N6,'Maximum Capital Rates - School'!A$18:F$44,M6+2,FALSE)+IF(AND(N6="Small",O6="YES"),IF(M6=0,10000,0),0)+V6+IF(T6="YES",IF(IF(N6="Small",VLOOKUP(M6,'Maximum Capital Rates - School'!H$18:W$44,2,FALSE),IF(N6="Medium",VLOOKUP(M6,'Maximum Capital Rates - School'!H$18:W$44,5,FALSE),IF(N6="Large",VLOOKUP(M6,'Maximum Capital Rates - School'!H$18:W$44,8,FALSE),IF(N6="X-Large",VLOOKUP(M6,'Maximum Capital Rates - School'!H$18:W$44,11,FALSE),IF(N6="Artic",VLOOKUP(M6,'Maximum Capital Rates - School'!H$18:W$44,14,FALSE))))))&gt;4,U6,0),0)),HLOOKUP(N6,'Maximum Capital Rates - School'!B$2:F$14,8,FALSE),0)+IF(OR(N6="Small",AD6="false"),0,VLOOKUP(M6,'Maximum Capital Rates - School'!A$18:G$44,7,FALSE)),(PMT(K6*HLOOKUP('Contract Amount Calc - School'!N6,'Maximum Capital Rates - School'!B$2:F$14,12,FALSE)+(K6+1.5%)*(1-HLOOKUP('Contract Amount Calc - School'!N6,'Maximum Capital Rates - School'!B$2:F$14,12,FALSE)),(IF(N6="Small",VLOOKUP(M6,'Maximum Capital Rates - School'!H$18:W$44,2,FALSE),IF(N6="Medium",VLOOKUP(M6,'Maximum Capital Rates - School'!H$18:W$44,5,FALSE),IF(N6="Large",VLOOKUP(M6,'Maximum Capital Rates - School'!H$18:W$44,8,FALSE),IF(N6="X-Large",VLOOKUP(M6,'Maximum Capital Rates - School'!H$18:W$44,11,FALSE),IF(N6="Artic",VLOOKUP(M6,'Maximum Capital Rates - School'!H$18:W$44,14,FALSE))))))),-(Q6+V6+IF(T6="YES",IF(IF(N6="Small",VLOOKUP(M6,'Maximum Capital Rates - School'!H$18:W$44,2,FALSE),IF(N6="Medium",VLOOKUP(M6,'Maximum Capital Rates - School'!H$18:W$44,5,FALSE),IF(N6="Large",VLOOKUP(M6,'Maximum Capital Rates - School'!H$18:W$44,8,FALSE),IF(N6="X-Large",VLOOKUP(M6,'Maximum Capital Rates - School'!H$18:W$44,11,FALSE),IF(N6="Artic",VLOOKUP(M6,'Maximum Capital Rates - School'!H$18:W$44,14,FALSE))))))&gt;4,U6,0),0)+HLOOKUP(N6,'Maximum Capital Rates - School'!B$2:F$14,6,FALSE)),HLOOKUP(N6,'Maximum Capital Rates - School'!B$2:F$14,8,FALSE),0)+IF(OR(N6="Small",AD6="false"),0,VLOOKUP(M6,'Maximum Capital Rates - School'!A$18:G$44,7,FALSE))))</f>
        <v>#N/A</v>
      </c>
      <c r="AA6" s="1">
        <f>IF(F6="YES",200000,IF(N6="Small",ROUND(VLOOKUP(M6,'Maximum Capital Rates - School'!A$18:F$44,2,FALSE),0),IF(N6="Medium",ROUND(VLOOKUP(M6,'Maximum Capital Rates - School'!A$18:F$44,3,FALSE),0),IF(N6="Large",ROUND(VLOOKUP(M6,'Maximum Capital Rates - School'!A$18:F$44,4,FALSE),0),IF(N6="X-Large",ROUND(VLOOKUP(M6,'Maximum Capital Rates - School'!A$18:F$44,5,FALSE),0),IF(N6="Artic",ROUND(VLOOKUP(M6,'Maximum Capital Rates - School'!A$18:F$44,6,FALSE),0))))))+IF(AND(N6="Small",O6="YES"),IF(M6=0,10000,0),0))</f>
        <v>0</v>
      </c>
      <c r="AB6" s="105" t="str">
        <f t="shared" si="1"/>
        <v>true</v>
      </c>
      <c r="AC6" s="1" t="str">
        <f t="shared" si="2"/>
        <v>true</v>
      </c>
      <c r="AD6" s="1" t="str">
        <f t="shared" si="3"/>
        <v>false</v>
      </c>
      <c r="JF6"/>
    </row>
    <row r="7" spans="1:266" x14ac:dyDescent="0.35">
      <c r="A7" s="106"/>
      <c r="B7" s="126" t="s">
        <v>149</v>
      </c>
      <c r="C7" s="132" t="s">
        <v>120</v>
      </c>
      <c r="D7" s="111"/>
      <c r="E7" s="217"/>
      <c r="F7" s="134" t="s">
        <v>120</v>
      </c>
      <c r="G7" s="134" t="s">
        <v>120</v>
      </c>
      <c r="H7" s="135"/>
      <c r="I7" s="235"/>
      <c r="J7" s="236"/>
      <c r="K7" s="257"/>
      <c r="L7" s="134"/>
      <c r="M7" s="181" t="str">
        <f t="shared" ca="1" si="0"/>
        <v/>
      </c>
      <c r="N7" s="134" t="s">
        <v>120</v>
      </c>
      <c r="O7" s="175" t="s">
        <v>5</v>
      </c>
      <c r="P7" s="136"/>
      <c r="Q7" s="261" t="str">
        <f ca="1">IF(P7="","",IF(L7="",0,(P7-((P7-HLOOKUP(N7,'Maximum Capital Rates - School'!$A$2:$F$14,8,FALSE))/(HLOOKUP(N7,'Maximum Capital Rates - School'!$A$2:$F$14,4,FALSE)-(J7-L7)))*((YEAR(TODAY())-L7)-(J7-L7)))))</f>
        <v/>
      </c>
      <c r="R7" s="208" t="str">
        <f ca="1">IF(Q7="","",IF(OR(N7="Small",F7="YES"),Q7,IF(Q7+V7+HLOOKUP(N7,'Maximum Capital Rates - School'!$A$2:$F$14,6,FALSE)&gt;AA7,AA7,Q7+V7+HLOOKUP(N7,'Maximum Capital Rates - School'!$A$2:$F$14,6,FALSE))))</f>
        <v/>
      </c>
      <c r="S7" s="175" t="s">
        <v>5</v>
      </c>
      <c r="T7" s="136" t="s">
        <v>5</v>
      </c>
      <c r="U7" s="136"/>
      <c r="V7" s="136"/>
      <c r="W7" s="144">
        <f ca="1">IF($C$3="Novation",Y7,IFERROR((IF(OR(E7="",Q7=""),0,IF(F7="YES",IF(H7&gt;5, IF(AND(C$2="Special Needs Bus Service",M7&gt;10,M7&lt;16),9560.23,IF(AND(N7="Small",M7&gt;10),0,IF(M7&lt;26,H7,0))),IF(AND(N7="Small",G7="Urban/Town",M7&lt;16),H7*7360,IF(AND(N7="Small",M7&lt;11),H7*7360,IF(AND(N7="Medium",N7="Large",N7="X-Large",G7="Urban/Town",M7&lt;28),H7*10304,IF(AND(N7="Medium",M7&lt;21),H7*10304,IF(AND(N7="Medium",M7=21),'Maximum Capital Rates - School'!N$50,IF(AND(N7="Medium",M7=22),'Maximum Capital Rates - School'!N$51,IF(AND(N7="Large",M7&lt;21),H7*14720,IF(AND(N7="Large",M7=21),'Maximum Capital Rates - School'!Q$50,IF(AND(N7="Large",M7=22),'Maximum Capital Rates - School'!Q$51,IF(AND(N7="X-Large",M7&lt;21),H7*17664,IF(AND(N7="X-Large",M7=21),'Maximum Capital Rates - School'!T$50,IF(AND(N7="X-Large",M7=22),'Maximum Capital Rates - School'!T$51,IF(AND(N7="Artic",M7&lt;31),H7*20608,IF("FALSE",0,))))))))))))))),IF(AND(N7="Artic",M7&gt;25),0,IF(M7&gt;20,0,IF(PMT(K7*HLOOKUP('Contract Amount Calc - School'!N7,'Maximum Capital Rates - School'!B$2:F$14,12,FALSE)+(K7+1.5%)*(1-HLOOKUP('Contract Amount Calc - School'!N7,'Maximum Capital Rates - School'!B$2:F$14,12,FALSE)),(IF(N7="Small",VLOOKUP(M7,'Maximum Capital Rates - School'!H$18:W$44,2,FALSE),IF(N7="Medium",VLOOKUP(M7,'Maximum Capital Rates - School'!H$18:W$44,5,FALSE),IF(N7="Large",VLOOKUP(M7,'Maximum Capital Rates - School'!H$18:W$44,8,FALSE),IF(N7="X-Large",VLOOKUP(M7,'Maximum Capital Rates - School'!H$18:W$44,11,FALSE),IF(N7="Artic",VLOOKUP(M7,'Maximum Capital Rates - School'!H$18:W$44,14,FALSE))))))),-(Q7+V7+IF(T7="YES",IF(IF(N7="Small",VLOOKUP(M7,'Maximum Capital Rates - School'!H$18:W$44,2,FALSE),IF(N7="Medium",VLOOKUP(M7,'Maximum Capital Rates - School'!H$18:W$44,5,FALSE),IF(N7="Large",VLOOKUP(M7,'Maximum Capital Rates - School'!H$18:W$44,8,FALSE),IF(N7="X-Large",VLOOKUP(M7,'Maximum Capital Rates - School'!H$18:W$44,11,FALSE),IF(N7="Artic",VLOOKUP(M7,'Maximum Capital Rates - School'!H$18:W$44,14,FALSE))))))&gt;4,U7,0),0)+HLOOKUP(N7,'Maximum Capital Rates - School'!B$2:F$14,6,FALSE)),HLOOKUP(N7,'Maximum Capital Rates - School'!B$2:F$14,8,FALSE),0)+IF(OR(N7="Small",AD7="false"),0,VLOOKUP(M7,'Maximum Capital Rates - School'!A$18:G$44,7,FALSE))&gt;PMT(K7*HLOOKUP('Contract Amount Calc - School'!N7,'Maximum Capital Rates - School'!B$2:F$14,12,FALSE)+(K7+1.5%)*(1-HLOOKUP('Contract Amount Calc - School'!N7,'Maximum Capital Rates - School'!B$2:F$14,12,FALSE)),(IF(N7="Small",VLOOKUP(M7,'Maximum Capital Rates - School'!H$18:W$44,2,FALSE),IF(N7="Medium",VLOOKUP(M7,'Maximum Capital Rates - School'!H$18:W$44,5,FALSE),IF(N7="Large",VLOOKUP(M7,'Maximum Capital Rates - School'!H$18:W$44,8,FALSE),IF(N7="X-Large",VLOOKUP(M7,'Maximum Capital Rates - School'!H$18:W$44,11,FALSE),IF(N7="Artic",VLOOKUP(M7,'Maximum Capital Rates - School'!H$18:W$44,14,FALSE))))))),-(HLOOKUP(N7,'Maximum Capital Rates - School'!A$18:F$44,M7+2,FALSE)+IF(AND(N7="Small",O7="YES"),IF(M7=0,10000,0),0)+V7+IF(T7="YES",IF(IF(N7="Small",VLOOKUP(M7,'Maximum Capital Rates - School'!H$18:W$44,2,FALSE),IF(N7="Medium",VLOOKUP(M7,'Maximum Capital Rates - School'!H$18:W$44,5,FALSE),IF(N7="Large",VLOOKUP(M7,'Maximum Capital Rates - School'!H$18:W$44,8,FALSE),IF(N7="X-Large",VLOOKUP(M7,'Maximum Capital Rates - School'!H$18:W$44,11,FALSE),IF(N7="Artic",VLOOKUP(M7,'Maximum Capital Rates - School'!H$18:W$44,14,FALSE))))))&gt;4,U7,0),0)),HLOOKUP(N7,'Maximum Capital Rates - School'!B$2:F$14,8,FALSE),0)+IF(OR(N7="Small",AD7="false"),0,VLOOKUP(M7,'Maximum Capital Rates - School'!A$18:G$44,7,FALSE)),PMT(K7*HLOOKUP('Contract Amount Calc - School'!N7,'Maximum Capital Rates - School'!B$2:F$14,12,FALSE)+(K7+1.5%)*(1-HLOOKUP('Contract Amount Calc - School'!N7,'Maximum Capital Rates - School'!B$2:F$14,12,FALSE)),(IF(N7="Small",VLOOKUP(M7,'Maximum Capital Rates - School'!H$18:W$44,2,FALSE),IF(N7="Medium",VLOOKUP(M7,'Maximum Capital Rates - School'!H$18:W$44,5,FALSE),IF(N7="Large",VLOOKUP(M7,'Maximum Capital Rates - School'!H$18:W$44,8,FALSE),IF(N7="X-Large",VLOOKUP(M7,'Maximum Capital Rates - School'!H$18:W$44,11,FALSE),IF(N7="Artic",VLOOKUP(M7,'Maximum Capital Rates - School'!H$18:W$44,14,FALSE))))))),-(HLOOKUP(N7,'Maximum Capital Rates - School'!A$18:F$44,M7+2,FALSE)+IF(AND(N7="Small",O7="YES"),IF(M7=0,10000,0),0)+V7+IF(T7="YES",IF(IF(N7="Small",VLOOKUP(M7,'Maximum Capital Rates - School'!H$18:W$44,2,FALSE),IF(N7="Medium",VLOOKUP(M7,'Maximum Capital Rates - School'!H$18:W$44,5,FALSE),IF(N7="Large",VLOOKUP(M7,'Maximum Capital Rates - School'!H$18:W$44,8,FALSE),IF(N7="X-Large",VLOOKUP(M7,'Maximum Capital Rates - School'!H$18:W$44,11,FALSE),IF(N7="Artic",VLOOKUP(M7,'Maximum Capital Rates - School'!H$18:W$44,14,FALSE))))))&gt;4,U7,0),0)),HLOOKUP(N7,'Maximum Capital Rates - School'!B$2:F$14,8,FALSE),0)+IF(OR(N7="Small",AD7="false"),0,VLOOKUP(M7,'Maximum Capital Rates - School'!A$18:G$44,7,FALSE)),(PMT(K7*HLOOKUP('Contract Amount Calc - School'!N7,'Maximum Capital Rates - School'!B$2:F$14,12,FALSE)+(K7+1.5%)*(1-HLOOKUP('Contract Amount Calc - School'!N7,'Maximum Capital Rates - School'!B$2:F$14,12,FALSE)),(IF(N7="Small",VLOOKUP(M7,'Maximum Capital Rates - School'!H$18:W$44,2,FALSE),IF(N7="Medium",VLOOKUP(M7,'Maximum Capital Rates - School'!H$18:W$44,5,FALSE),IF(N7="Large",VLOOKUP(M7,'Maximum Capital Rates - School'!H$18:W$44,8,FALSE),IF(N7="X-Large",VLOOKUP(M7,'Maximum Capital Rates - School'!H$18:W$44,11,FALSE),IF(N7="Artic",VLOOKUP(M7,'Maximum Capital Rates - School'!H$18:W$44,14,FALSE))))))),-(Q7+V7+IF(T7="YES",IF(IF(N7="Small",VLOOKUP(M7,'Maximum Capital Rates - School'!H$18:W$44,2,FALSE),IF(N7="Medium",VLOOKUP(M7,'Maximum Capital Rates - School'!H$18:W$44,5,FALSE),IF(N7="Large",VLOOKUP(M7,'Maximum Capital Rates - School'!H$18:W$44,8,FALSE),IF(N7="X-Large",VLOOKUP(M7,'Maximum Capital Rates - School'!H$18:W$44,11,FALSE),IF(N7="Artic",VLOOKUP(M7,'Maximum Capital Rates - School'!H$18:W$44,14,FALSE))))))&gt;4,U7,0),0)+HLOOKUP(N7,'Maximum Capital Rates - School'!B$2:F$14,6,FALSE)),HLOOKUP(N7,'Maximum Capital Rates - School'!B$2:F$14,8,FALSE),0)+IF(OR(N7="Small",AD7="false"),0,VLOOKUP(M7,'Maximum Capital Rates - School'!A$18:G$44,7,FALSE))))))))),0))</f>
        <v>0</v>
      </c>
      <c r="X7" s="216">
        <f ca="1">IF(R7="",0,IF(N7="Small",Sheet1!E$3,Sheet1!D$3)+Sheet1!D$4+IF(C$7="Yes",Sheet1!$D$10,0)+IF(S7="Yes",Sheet1!D$9,0)+IF(R7*Sheet1!C$5&lt;1046,1046*(1+Sheet1!C$67),IF(AND(F7="YES",R7&gt;Sheet1!E$5),(Sheet1!E$5*Sheet1!C$5)*(1+Sheet1!C$67),(R7*Sheet1!C$5)*(1+Sheet1!C$67)))+IF(M7&gt;Sheet1!C$6,2,1)*(Sheet1!D$6))</f>
        <v>0</v>
      </c>
      <c r="Y7" s="105" t="e">
        <f ca="1">IF(H7&gt;IF(PMT(K7*HLOOKUP('Contract Amount Calc - School'!N7,'Maximum Capital Rates - School'!B$2:F$14,12,FALSE)+(K7+1.5%)*(1-HLOOKUP('Contract Amount Calc - School'!N7,'Maximum Capital Rates - School'!B$2:F$14,12,FALSE)),(IF(N7="Small",VLOOKUP(M7,'Maximum Capital Rates - School'!H$18:W$44,2,FALSE),IF(N7="Medium",VLOOKUP(M7,'Maximum Capital Rates - School'!H$18:W$44,5,FALSE),IF(N7="Large",VLOOKUP(M7,'Maximum Capital Rates - School'!H$18:W$44,8,FALSE),IF(N7="X-Large",VLOOKUP(M7,'Maximum Capital Rates - School'!H$18:W$44,11,FALSE),IF(N7="Artic",VLOOKUP(M7,'Maximum Capital Rates - School'!H$18:W$44,14,FALSE))))))),-(Q7+V7+IF(T7="YES",IF(IF(N7="Small",VLOOKUP(M7,'Maximum Capital Rates - School'!H$18:W$44,2,FALSE),IF(N7="Medium",VLOOKUP(M7,'Maximum Capital Rates - School'!H$18:W$44,5,FALSE),IF(N7="Large",VLOOKUP(M7,'Maximum Capital Rates - School'!H$18:W$44,8,FALSE),IF(N7="X-Large",VLOOKUP(M7,'Maximum Capital Rates - School'!H$18:W$44,11,FALSE),IF(N7="Artic",VLOOKUP(M7,'Maximum Capital Rates - School'!H$18:W$44,14,FALSE))))))&gt;4,U7,0),0)+HLOOKUP(N7,'Maximum Capital Rates - School'!B$2:F$14,6,FALSE)),HLOOKUP(N7,'Maximum Capital Rates - School'!B$2:F$14,8,FALSE),0)+IF(OR(N7="Small",AD7="false"),0,VLOOKUP(M7,'Maximum Capital Rates - School'!A$18:G$44,7,FALSE))&gt;PMT(K7*HLOOKUP('Contract Amount Calc - School'!N7,'Maximum Capital Rates - School'!B$2:F$14,12,FALSE)+(K7+1.5%)*(1-HLOOKUP('Contract Amount Calc - School'!N7,'Maximum Capital Rates - School'!B$2:F$14,12,FALSE)),(IF(N7="Small",VLOOKUP(M7,'Maximum Capital Rates - School'!H$18:W$44,2,FALSE),IF(N7="Medium",VLOOKUP(M7,'Maximum Capital Rates - School'!H$18:W$44,5,FALSE),IF(N7="Large",VLOOKUP(M7,'Maximum Capital Rates - School'!H$18:W$44,8,FALSE),IF(N7="X-Large",VLOOKUP(M7,'Maximum Capital Rates - School'!H$18:W$44,11,FALSE),IF(N7="Artic",VLOOKUP(M7,'Maximum Capital Rates - School'!H$18:W$44,14,FALSE))))))),-(HLOOKUP(N7,'Maximum Capital Rates - School'!A$18:F$44,M7+2,FALSE)+IF(AND(N7="Small",O7="YES"),IF(M7=0,10000,0),0)+V7+IF(T7="YES",IF(IF(N7="Small",VLOOKUP(M7,'Maximum Capital Rates - School'!H$18:W$44,2,FALSE),IF(N7="Medium",VLOOKUP(M7,'Maximum Capital Rates - School'!H$18:W$44,5,FALSE),IF(N7="Large",VLOOKUP(M7,'Maximum Capital Rates - School'!H$18:W$44,8,FALSE),IF(N7="X-Large",VLOOKUP(M7,'Maximum Capital Rates - School'!H$18:W$44,11,FALSE),IF(N7="Artic",VLOOKUP(M7,'Maximum Capital Rates - School'!H$18:W$44,14,FALSE))))))&gt;4,U7,0),0)),HLOOKUP(N7,'Maximum Capital Rates - School'!B$2:F$14,8,FALSE),0)+IF(OR(N7="Small",AD7="false"),0,VLOOKUP(M7,'Maximum Capital Rates - School'!A$18:G$44,7,FALSE)),PMT(K7*HLOOKUP('Contract Amount Calc - School'!N7,'Maximum Capital Rates - School'!B$2:F$14,12,FALSE)+(K7+1.5%)*(1-HLOOKUP('Contract Amount Calc - School'!N7,'Maximum Capital Rates - School'!B$2:F$14,12,FALSE)),(IF(N7="Small",VLOOKUP(M7,'Maximum Capital Rates - School'!H$18:W$44,2,FALSE),IF(N7="Medium",VLOOKUP(M7,'Maximum Capital Rates - School'!H$18:W$44,5,FALSE),IF(N7="Large",VLOOKUP(M7,'Maximum Capital Rates - School'!H$18:W$44,8,FALSE),IF(N7="X-Large",VLOOKUP(M7,'Maximum Capital Rates - School'!H$18:W$44,11,FALSE),IF(N7="Artic",VLOOKUP(M7,'Maximum Capital Rates - School'!H$18:W$44,14,FALSE))))))),-(HLOOKUP(N7,'Maximum Capital Rates - School'!A$18:F$44,M7+2,FALSE)+IF(AND(N7="Small",O7="YES"),IF(M7=0,10000,0),0)+V7+IF(T7="YES",IF(IF(N7="Small",VLOOKUP(M7,'Maximum Capital Rates - School'!H$18:W$44,2,FALSE),IF(N7="Medium",VLOOKUP(M7,'Maximum Capital Rates - School'!H$18:W$44,5,FALSE),IF(N7="Large",VLOOKUP(M7,'Maximum Capital Rates - School'!H$18:W$44,8,FALSE),IF(N7="X-Large",VLOOKUP(M7,'Maximum Capital Rates - School'!H$18:W$44,11,FALSE),IF(N7="Artic",VLOOKUP(M7,'Maximum Capital Rates - School'!H$18:W$44,14,FALSE))))))&gt;4,U7,0),0)),HLOOKUP(N7,'Maximum Capital Rates - School'!B$2:F$14,8,FALSE),0)+IF(OR(N7="Small",AD7="false"),0,VLOOKUP(M7,'Maximum Capital Rates - School'!A$18:G$44,7,FALSE)),(PMT(K7*HLOOKUP('Contract Amount Calc - School'!N7,'Maximum Capital Rates - School'!B$2:F$14,12,FALSE)+(K7+1.5%)*(1-HLOOKUP('Contract Amount Calc - School'!N7,'Maximum Capital Rates - School'!B$2:F$14,12,FALSE)),(IF(N7="Small",VLOOKUP(M7,'Maximum Capital Rates - School'!H$18:W$44,2,FALSE),IF(N7="Medium",VLOOKUP(M7,'Maximum Capital Rates - School'!H$18:W$44,5,FALSE),IF(N7="Large",VLOOKUP(M7,'Maximum Capital Rates - School'!H$18:W$44,8,FALSE),IF(N7="X-Large",VLOOKUP(M7,'Maximum Capital Rates - School'!H$18:W$44,11,FALSE),IF(N7="Artic",VLOOKUP(M7,'Maximum Capital Rates - School'!H$18:W$44,14,FALSE))))))),-(Q7+V7+IF(T7="YES",IF(IF(N7="Small",VLOOKUP(M7,'Maximum Capital Rates - School'!H$18:W$44,2,FALSE),IF(N7="Medium",VLOOKUP(M7,'Maximum Capital Rates - School'!H$18:W$44,5,FALSE),IF(N7="Large",VLOOKUP(M7,'Maximum Capital Rates - School'!H$18:W$44,8,FALSE),IF(N7="X-Large",VLOOKUP(M7,'Maximum Capital Rates - School'!H$18:W$44,11,FALSE),IF(N7="Artic",VLOOKUP(M7,'Maximum Capital Rates - School'!H$18:W$44,14,FALSE))))))&gt;4,U7,0),0)+HLOOKUP(N7,'Maximum Capital Rates - School'!B$2:F$14,6,FALSE)),HLOOKUP(N7,'Maximum Capital Rates - School'!B$2:F$14,8,FALSE),0)+IF(OR(N7="Small",AD7="false"),0,VLOOKUP(M7,'Maximum Capital Rates - School'!A$18:G$44,7,FALSE)))),Z7,H7)</f>
        <v>#N/A</v>
      </c>
      <c r="Z7" s="124" t="e">
        <f ca="1">IF(PMT(K7*HLOOKUP('Contract Amount Calc - School'!N7,'Maximum Capital Rates - School'!B$2:F$14,12,FALSE)+(K7+1.5%)*(1-HLOOKUP('Contract Amount Calc - School'!N7,'Maximum Capital Rates - School'!B$2:F$14,12,FALSE)),(IF(N7="Small",VLOOKUP(M7,'Maximum Capital Rates - School'!H$18:W$44,2,FALSE),IF(N7="Medium",VLOOKUP(M7,'Maximum Capital Rates - School'!H$18:W$44,5,FALSE),IF(N7="Large",VLOOKUP(M7,'Maximum Capital Rates - School'!H$18:W$44,8,FALSE),IF(N7="X-Large",VLOOKUP(M7,'Maximum Capital Rates - School'!H$18:W$44,11,FALSE),IF(N7="Artic",VLOOKUP(M7,'Maximum Capital Rates - School'!H$18:W$44,14,FALSE))))))),-(Q7+V7+IF(T7="YES",IF(IF(N7="Small",VLOOKUP(M7,'Maximum Capital Rates - School'!H$18:W$44,2,FALSE),IF(N7="Medium",VLOOKUP(M7,'Maximum Capital Rates - School'!H$18:W$44,5,FALSE),IF(N7="Large",VLOOKUP(M7,'Maximum Capital Rates - School'!H$18:W$44,8,FALSE),IF(N7="X-Large",VLOOKUP(M7,'Maximum Capital Rates - School'!H$18:W$44,11,FALSE),IF(N7="Artic",VLOOKUP(M7,'Maximum Capital Rates - School'!H$18:W$44,14,FALSE))))))&gt;4,U7,0),0)+HLOOKUP(N7,'Maximum Capital Rates - School'!B$2:F$14,6,FALSE)),HLOOKUP(N7,'Maximum Capital Rates - School'!B$2:F$14,8,FALSE),0)+IF(OR(N7="Small",AD7="false"),0,VLOOKUP(M7,'Maximum Capital Rates - School'!A$18:G$44,7,FALSE))&gt;PMT(K7*HLOOKUP('Contract Amount Calc - School'!N7,'Maximum Capital Rates - School'!B$2:F$14,12,FALSE)+(K7+1.5%)*(1-HLOOKUP('Contract Amount Calc - School'!N7,'Maximum Capital Rates - School'!B$2:F$14,12,FALSE)),(IF(N7="Small",VLOOKUP(M7,'Maximum Capital Rates - School'!H$18:W$44,2,FALSE),IF(N7="Medium",VLOOKUP(M7,'Maximum Capital Rates - School'!H$18:W$44,5,FALSE),IF(N7="Large",VLOOKUP(M7,'Maximum Capital Rates - School'!H$18:W$44,8,FALSE),IF(N7="X-Large",VLOOKUP(M7,'Maximum Capital Rates - School'!H$18:W$44,11,FALSE),IF(N7="Artic",VLOOKUP(M7,'Maximum Capital Rates - School'!H$18:W$44,14,FALSE))))))),-(HLOOKUP(N7,'Maximum Capital Rates - School'!A$18:F$44,M7+2,FALSE)+IF(AND(N7="Small",O7="YES"),IF(M7=0,10000,0),0)+V7+IF(T7="YES",IF(IF(N7="Small",VLOOKUP(M7,'Maximum Capital Rates - School'!H$18:W$44,2,FALSE),IF(N7="Medium",VLOOKUP(M7,'Maximum Capital Rates - School'!H$18:W$44,5,FALSE),IF(N7="Large",VLOOKUP(M7,'Maximum Capital Rates - School'!H$18:W$44,8,FALSE),IF(N7="X-Large",VLOOKUP(M7,'Maximum Capital Rates - School'!H$18:W$44,11,FALSE),IF(N7="Artic",VLOOKUP(M7,'Maximum Capital Rates - School'!H$18:W$44,14,FALSE))))))&gt;4,U7,0),0)),HLOOKUP(N7,'Maximum Capital Rates - School'!B$2:F$14,8,FALSE),0)+IF(OR(N7="Small",AD7="false"),0,VLOOKUP(M7,'Maximum Capital Rates - School'!A$18:G$44,7,FALSE)),PMT(K7*HLOOKUP('Contract Amount Calc - School'!N7,'Maximum Capital Rates - School'!B$2:F$14,12,FALSE)+(K7+1.5%)*(1-HLOOKUP('Contract Amount Calc - School'!N7,'Maximum Capital Rates - School'!B$2:F$14,12,FALSE)),(IF(N7="Small",VLOOKUP(M7,'Maximum Capital Rates - School'!H$18:W$44,2,FALSE),IF(N7="Medium",VLOOKUP(M7,'Maximum Capital Rates - School'!H$18:W$44,5,FALSE),IF(N7="Large",VLOOKUP(M7,'Maximum Capital Rates - School'!H$18:W$44,8,FALSE),IF(N7="X-Large",VLOOKUP(M7,'Maximum Capital Rates - School'!H$18:W$44,11,FALSE),IF(N7="Artic",VLOOKUP(M7,'Maximum Capital Rates - School'!H$18:W$44,14,FALSE))))))),-(HLOOKUP(N7,'Maximum Capital Rates - School'!A$18:F$44,M7+2,FALSE)+IF(AND(N7="Small",O7="YES"),IF(M7=0,10000,0),0)+V7+IF(T7="YES",IF(IF(N7="Small",VLOOKUP(M7,'Maximum Capital Rates - School'!H$18:W$44,2,FALSE),IF(N7="Medium",VLOOKUP(M7,'Maximum Capital Rates - School'!H$18:W$44,5,FALSE),IF(N7="Large",VLOOKUP(M7,'Maximum Capital Rates - School'!H$18:W$44,8,FALSE),IF(N7="X-Large",VLOOKUP(M7,'Maximum Capital Rates - School'!H$18:W$44,11,FALSE),IF(N7="Artic",VLOOKUP(M7,'Maximum Capital Rates - School'!H$18:W$44,14,FALSE))))))&gt;4,U7,0),0)),HLOOKUP(N7,'Maximum Capital Rates - School'!B$2:F$14,8,FALSE),0)+IF(OR(N7="Small",AD7="false"),0,VLOOKUP(M7,'Maximum Capital Rates - School'!A$18:G$44,7,FALSE)),(PMT(K7*HLOOKUP('Contract Amount Calc - School'!N7,'Maximum Capital Rates - School'!B$2:F$14,12,FALSE)+(K7+1.5%)*(1-HLOOKUP('Contract Amount Calc - School'!N7,'Maximum Capital Rates - School'!B$2:F$14,12,FALSE)),(IF(N7="Small",VLOOKUP(M7,'Maximum Capital Rates - School'!H$18:W$44,2,FALSE),IF(N7="Medium",VLOOKUP(M7,'Maximum Capital Rates - School'!H$18:W$44,5,FALSE),IF(N7="Large",VLOOKUP(M7,'Maximum Capital Rates - School'!H$18:W$44,8,FALSE),IF(N7="X-Large",VLOOKUP(M7,'Maximum Capital Rates - School'!H$18:W$44,11,FALSE),IF(N7="Artic",VLOOKUP(M7,'Maximum Capital Rates - School'!H$18:W$44,14,FALSE))))))),-(Q7+V7+IF(T7="YES",IF(IF(N7="Small",VLOOKUP(M7,'Maximum Capital Rates - School'!H$18:W$44,2,FALSE),IF(N7="Medium",VLOOKUP(M7,'Maximum Capital Rates - School'!H$18:W$44,5,FALSE),IF(N7="Large",VLOOKUP(M7,'Maximum Capital Rates - School'!H$18:W$44,8,FALSE),IF(N7="X-Large",VLOOKUP(M7,'Maximum Capital Rates - School'!H$18:W$44,11,FALSE),IF(N7="Artic",VLOOKUP(M7,'Maximum Capital Rates - School'!H$18:W$44,14,FALSE))))))&gt;4,U7,0),0)+HLOOKUP(N7,'Maximum Capital Rates - School'!B$2:F$14,6,FALSE)),HLOOKUP(N7,'Maximum Capital Rates - School'!B$2:F$14,8,FALSE),0)+IF(OR(N7="Small",AD7="false"),0,VLOOKUP(M7,'Maximum Capital Rates - School'!A$18:G$44,7,FALSE))))</f>
        <v>#N/A</v>
      </c>
      <c r="AA7" s="1">
        <f>IF(F7="YES",200000,IF(N7="Small",ROUND(VLOOKUP(M7,'Maximum Capital Rates - School'!A$18:F$44,2,FALSE),0),IF(N7="Medium",ROUND(VLOOKUP(M7,'Maximum Capital Rates - School'!A$18:F$44,3,FALSE),0),IF(N7="Large",ROUND(VLOOKUP(M7,'Maximum Capital Rates - School'!A$18:F$44,4,FALSE),0),IF(N7="X-Large",ROUND(VLOOKUP(M7,'Maximum Capital Rates - School'!A$18:F$44,5,FALSE),0),IF(N7="Artic",ROUND(VLOOKUP(M7,'Maximum Capital Rates - School'!A$18:F$44,6,FALSE),0))))))+IF(AND(N7="Small",O7="YES"),IF(M7=0,10000,0),0))</f>
        <v>0</v>
      </c>
      <c r="AB7" s="105" t="str">
        <f t="shared" si="1"/>
        <v>true</v>
      </c>
      <c r="AC7" s="1" t="str">
        <f t="shared" si="2"/>
        <v>true</v>
      </c>
      <c r="AD7" s="1" t="str">
        <f t="shared" si="3"/>
        <v>false</v>
      </c>
      <c r="JF7"/>
    </row>
    <row r="8" spans="1:266" ht="15" thickBot="1" x14ac:dyDescent="0.4">
      <c r="A8" s="106"/>
      <c r="B8" s="119" t="s">
        <v>80</v>
      </c>
      <c r="C8" s="132" t="s">
        <v>120</v>
      </c>
      <c r="D8" s="111"/>
      <c r="E8" s="250"/>
      <c r="F8" s="251" t="s">
        <v>120</v>
      </c>
      <c r="G8" s="251" t="s">
        <v>120</v>
      </c>
      <c r="H8" s="252"/>
      <c r="I8" s="253"/>
      <c r="J8" s="254"/>
      <c r="K8" s="258"/>
      <c r="L8" s="251"/>
      <c r="M8" s="255" t="str">
        <f t="shared" ca="1" si="0"/>
        <v/>
      </c>
      <c r="N8" s="251" t="s">
        <v>120</v>
      </c>
      <c r="O8" s="218" t="s">
        <v>5</v>
      </c>
      <c r="P8" s="219"/>
      <c r="Q8" s="262" t="str">
        <f ca="1">IF(P8="","",IF(L8="",0,(P8-((P8-HLOOKUP(N8,'Maximum Capital Rates - School'!$A$2:$F$14,8,FALSE))/(HLOOKUP(N8,'Maximum Capital Rates - School'!$A$2:$F$14,4,FALSE)-(J8-L8)))*((YEAR(TODAY())-L8)-(J8-L8)))))</f>
        <v/>
      </c>
      <c r="R8" s="220" t="str">
        <f ca="1">IF(Q8="","",IF(OR(N8="Small",F8="YES"),Q8,IF(Q8+V8+HLOOKUP(N8,'Maximum Capital Rates - School'!$A$2:$F$14,6,FALSE)&gt;AA8,AA8,Q8+V8+HLOOKUP(N8,'Maximum Capital Rates - School'!$A$2:$F$14,6,FALSE))))</f>
        <v/>
      </c>
      <c r="S8" s="218" t="s">
        <v>5</v>
      </c>
      <c r="T8" s="219" t="s">
        <v>5</v>
      </c>
      <c r="U8" s="219"/>
      <c r="V8" s="219"/>
      <c r="W8" s="222">
        <f ca="1">IF($C$3="Novation",Y8,IFERROR((IF(OR(E8="",Q8=""),0,IF(F8="YES",IF(H8&gt;5, IF(AND(C$2="Special Needs Bus Service",M8&gt;10,M8&lt;16),9560.23,IF(AND(N8="Small",M8&gt;10),0,IF(M8&lt;26,H8,0))),IF(AND(N8="Small",G8="Urban/Town",M8&lt;16),H8*7360,IF(AND(N8="Small",M8&lt;11),H8*7360,IF(AND(N8="Medium",N8="Large",N8="X-Large",G8="Urban/Town",M8&lt;28),H8*10304,IF(AND(N8="Medium",M8&lt;21),H8*10304,IF(AND(N8="Medium",M8=21),'Maximum Capital Rates - School'!N$50,IF(AND(N8="Medium",M8=22),'Maximum Capital Rates - School'!N$51,IF(AND(N8="Large",M8&lt;21),H8*14720,IF(AND(N8="Large",M8=21),'Maximum Capital Rates - School'!Q$50,IF(AND(N8="Large",M8=22),'Maximum Capital Rates - School'!Q$51,IF(AND(N8="X-Large",M8&lt;21),H8*17664,IF(AND(N8="X-Large",M8=21),'Maximum Capital Rates - School'!T$50,IF(AND(N8="X-Large",M8=22),'Maximum Capital Rates - School'!T$51,IF(AND(N8="Artic",M8&lt;31),H8*20608,IF("FALSE",0,))))))))))))))),IF(AND(N8="Artic",M8&gt;25),0,IF(M8&gt;20,0,IF(PMT(K8*HLOOKUP('Contract Amount Calc - School'!N8,'Maximum Capital Rates - School'!B$2:F$14,12,FALSE)+(K8+1.5%)*(1-HLOOKUP('Contract Amount Calc - School'!N8,'Maximum Capital Rates - School'!B$2:F$14,12,FALSE)),(IF(N8="Small",VLOOKUP(M8,'Maximum Capital Rates - School'!H$18:W$44,2,FALSE),IF(N8="Medium",VLOOKUP(M8,'Maximum Capital Rates - School'!H$18:W$44,5,FALSE),IF(N8="Large",VLOOKUP(M8,'Maximum Capital Rates - School'!H$18:W$44,8,FALSE),IF(N8="X-Large",VLOOKUP(M8,'Maximum Capital Rates - School'!H$18:W$44,11,FALSE),IF(N8="Artic",VLOOKUP(M8,'Maximum Capital Rates - School'!H$18:W$44,14,FALSE))))))),-(Q8+V8+IF(T8="YES",IF(IF(N8="Small",VLOOKUP(M8,'Maximum Capital Rates - School'!H$18:W$44,2,FALSE),IF(N8="Medium",VLOOKUP(M8,'Maximum Capital Rates - School'!H$18:W$44,5,FALSE),IF(N8="Large",VLOOKUP(M8,'Maximum Capital Rates - School'!H$18:W$44,8,FALSE),IF(N8="X-Large",VLOOKUP(M8,'Maximum Capital Rates - School'!H$18:W$44,11,FALSE),IF(N8="Artic",VLOOKUP(M8,'Maximum Capital Rates - School'!H$18:W$44,14,FALSE))))))&gt;4,U8,0),0)+HLOOKUP(N8,'Maximum Capital Rates - School'!B$2:F$14,6,FALSE)),HLOOKUP(N8,'Maximum Capital Rates - School'!B$2:F$14,8,FALSE),0)+IF(OR(N8="Small",AD8="false"),0,VLOOKUP(M8,'Maximum Capital Rates - School'!A$18:G$44,7,FALSE))&gt;PMT(K8*HLOOKUP('Contract Amount Calc - School'!N8,'Maximum Capital Rates - School'!B$2:F$14,12,FALSE)+(K8+1.5%)*(1-HLOOKUP('Contract Amount Calc - School'!N8,'Maximum Capital Rates - School'!B$2:F$14,12,FALSE)),(IF(N8="Small",VLOOKUP(M8,'Maximum Capital Rates - School'!H$18:W$44,2,FALSE),IF(N8="Medium",VLOOKUP(M8,'Maximum Capital Rates - School'!H$18:W$44,5,FALSE),IF(N8="Large",VLOOKUP(M8,'Maximum Capital Rates - School'!H$18:W$44,8,FALSE),IF(N8="X-Large",VLOOKUP(M8,'Maximum Capital Rates - School'!H$18:W$44,11,FALSE),IF(N8="Artic",VLOOKUP(M8,'Maximum Capital Rates - School'!H$18:W$44,14,FALSE))))))),-(HLOOKUP(N8,'Maximum Capital Rates - School'!A$18:F$44,M8+2,FALSE)+IF(AND(N8="Small",O8="YES"),IF(M8=0,10000,0),0)+V8+IF(T8="YES",IF(IF(N8="Small",VLOOKUP(M8,'Maximum Capital Rates - School'!H$18:W$44,2,FALSE),IF(N8="Medium",VLOOKUP(M8,'Maximum Capital Rates - School'!H$18:W$44,5,FALSE),IF(N8="Large",VLOOKUP(M8,'Maximum Capital Rates - School'!H$18:W$44,8,FALSE),IF(N8="X-Large",VLOOKUP(M8,'Maximum Capital Rates - School'!H$18:W$44,11,FALSE),IF(N8="Artic",VLOOKUP(M8,'Maximum Capital Rates - School'!H$18:W$44,14,FALSE))))))&gt;4,U8,0),0)),HLOOKUP(N8,'Maximum Capital Rates - School'!B$2:F$14,8,FALSE),0)+IF(OR(N8="Small",AD8="false"),0,VLOOKUP(M8,'Maximum Capital Rates - School'!A$18:G$44,7,FALSE)),PMT(K8*HLOOKUP('Contract Amount Calc - School'!N8,'Maximum Capital Rates - School'!B$2:F$14,12,FALSE)+(K8+1.5%)*(1-HLOOKUP('Contract Amount Calc - School'!N8,'Maximum Capital Rates - School'!B$2:F$14,12,FALSE)),(IF(N8="Small",VLOOKUP(M8,'Maximum Capital Rates - School'!H$18:W$44,2,FALSE),IF(N8="Medium",VLOOKUP(M8,'Maximum Capital Rates - School'!H$18:W$44,5,FALSE),IF(N8="Large",VLOOKUP(M8,'Maximum Capital Rates - School'!H$18:W$44,8,FALSE),IF(N8="X-Large",VLOOKUP(M8,'Maximum Capital Rates - School'!H$18:W$44,11,FALSE),IF(N8="Artic",VLOOKUP(M8,'Maximum Capital Rates - School'!H$18:W$44,14,FALSE))))))),-(HLOOKUP(N8,'Maximum Capital Rates - School'!A$18:F$44,M8+2,FALSE)+IF(AND(N8="Small",O8="YES"),IF(M8=0,10000,0),0)+V8+IF(T8="YES",IF(IF(N8="Small",VLOOKUP(M8,'Maximum Capital Rates - School'!H$18:W$44,2,FALSE),IF(N8="Medium",VLOOKUP(M8,'Maximum Capital Rates - School'!H$18:W$44,5,FALSE),IF(N8="Large",VLOOKUP(M8,'Maximum Capital Rates - School'!H$18:W$44,8,FALSE),IF(N8="X-Large",VLOOKUP(M8,'Maximum Capital Rates - School'!H$18:W$44,11,FALSE),IF(N8="Artic",VLOOKUP(M8,'Maximum Capital Rates - School'!H$18:W$44,14,FALSE))))))&gt;4,U8,0),0)),HLOOKUP(N8,'Maximum Capital Rates - School'!B$2:F$14,8,FALSE),0)+IF(OR(N8="Small",AD8="false"),0,VLOOKUP(M8,'Maximum Capital Rates - School'!A$18:G$44,7,FALSE)),(PMT(K8*HLOOKUP('Contract Amount Calc - School'!N8,'Maximum Capital Rates - School'!B$2:F$14,12,FALSE)+(K8+1.5%)*(1-HLOOKUP('Contract Amount Calc - School'!N8,'Maximum Capital Rates - School'!B$2:F$14,12,FALSE)),(IF(N8="Small",VLOOKUP(M8,'Maximum Capital Rates - School'!H$18:W$44,2,FALSE),IF(N8="Medium",VLOOKUP(M8,'Maximum Capital Rates - School'!H$18:W$44,5,FALSE),IF(N8="Large",VLOOKUP(M8,'Maximum Capital Rates - School'!H$18:W$44,8,FALSE),IF(N8="X-Large",VLOOKUP(M8,'Maximum Capital Rates - School'!H$18:W$44,11,FALSE),IF(N8="Artic",VLOOKUP(M8,'Maximum Capital Rates - School'!H$18:W$44,14,FALSE))))))),-(Q8+V8+IF(T8="YES",IF(IF(N8="Small",VLOOKUP(M8,'Maximum Capital Rates - School'!H$18:W$44,2,FALSE),IF(N8="Medium",VLOOKUP(M8,'Maximum Capital Rates - School'!H$18:W$44,5,FALSE),IF(N8="Large",VLOOKUP(M8,'Maximum Capital Rates - School'!H$18:W$44,8,FALSE),IF(N8="X-Large",VLOOKUP(M8,'Maximum Capital Rates - School'!H$18:W$44,11,FALSE),IF(N8="Artic",VLOOKUP(M8,'Maximum Capital Rates - School'!H$18:W$44,14,FALSE))))))&gt;4,U8,0),0)+HLOOKUP(N8,'Maximum Capital Rates - School'!B$2:F$14,6,FALSE)),HLOOKUP(N8,'Maximum Capital Rates - School'!B$2:F$14,8,FALSE),0)+IF(OR(N8="Small",AD8="false"),0,VLOOKUP(M8,'Maximum Capital Rates - School'!A$18:G$44,7,FALSE))))))))),0))</f>
        <v>0</v>
      </c>
      <c r="X8" s="221">
        <f ca="1">IF(R8="",0,IF(N8="Small",Sheet1!E$3,Sheet1!D$3)+Sheet1!D$4+IF(C$7="Yes",Sheet1!$D$10,0)+IF(S8="Yes",Sheet1!D$9,0)+IF(R8*Sheet1!C$5&lt;1046,1046*(1+Sheet1!C$67),IF(AND(F8="YES",R8&gt;Sheet1!E$5),(Sheet1!E$5*Sheet1!C$5)*(1+Sheet1!C$67),(R8*Sheet1!C$5)*(1+Sheet1!C$67)))+IF(M8&gt;Sheet1!C$6,2,1)*(Sheet1!D$6))</f>
        <v>0</v>
      </c>
      <c r="Y8" s="105" t="e">
        <f ca="1">IF(H8&gt;IF(PMT(K8*HLOOKUP('Contract Amount Calc - School'!N8,'Maximum Capital Rates - School'!B$2:F$14,12,FALSE)+(K8+1.5%)*(1-HLOOKUP('Contract Amount Calc - School'!N8,'Maximum Capital Rates - School'!B$2:F$14,12,FALSE)),(IF(N8="Small",VLOOKUP(M8,'Maximum Capital Rates - School'!H$18:W$44,2,FALSE),IF(N8="Medium",VLOOKUP(M8,'Maximum Capital Rates - School'!H$18:W$44,5,FALSE),IF(N8="Large",VLOOKUP(M8,'Maximum Capital Rates - School'!H$18:W$44,8,FALSE),IF(N8="X-Large",VLOOKUP(M8,'Maximum Capital Rates - School'!H$18:W$44,11,FALSE),IF(N8="Artic",VLOOKUP(M8,'Maximum Capital Rates - School'!H$18:W$44,14,FALSE))))))),-(Q8+V8+IF(T8="YES",IF(IF(N8="Small",VLOOKUP(M8,'Maximum Capital Rates - School'!H$18:W$44,2,FALSE),IF(N8="Medium",VLOOKUP(M8,'Maximum Capital Rates - School'!H$18:W$44,5,FALSE),IF(N8="Large",VLOOKUP(M8,'Maximum Capital Rates - School'!H$18:W$44,8,FALSE),IF(N8="X-Large",VLOOKUP(M8,'Maximum Capital Rates - School'!H$18:W$44,11,FALSE),IF(N8="Artic",VLOOKUP(M8,'Maximum Capital Rates - School'!H$18:W$44,14,FALSE))))))&gt;4,U8,0),0)+HLOOKUP(N8,'Maximum Capital Rates - School'!B$2:F$14,6,FALSE)),HLOOKUP(N8,'Maximum Capital Rates - School'!B$2:F$14,8,FALSE),0)+IF(OR(N8="Small",AD8="false"),0,VLOOKUP(M8,'Maximum Capital Rates - School'!A$18:G$44,7,FALSE))&gt;PMT(K8*HLOOKUP('Contract Amount Calc - School'!N8,'Maximum Capital Rates - School'!B$2:F$14,12,FALSE)+(K8+1.5%)*(1-HLOOKUP('Contract Amount Calc - School'!N8,'Maximum Capital Rates - School'!B$2:F$14,12,FALSE)),(IF(N8="Small",VLOOKUP(M8,'Maximum Capital Rates - School'!H$18:W$44,2,FALSE),IF(N8="Medium",VLOOKUP(M8,'Maximum Capital Rates - School'!H$18:W$44,5,FALSE),IF(N8="Large",VLOOKUP(M8,'Maximum Capital Rates - School'!H$18:W$44,8,FALSE),IF(N8="X-Large",VLOOKUP(M8,'Maximum Capital Rates - School'!H$18:W$44,11,FALSE),IF(N8="Artic",VLOOKUP(M8,'Maximum Capital Rates - School'!H$18:W$44,14,FALSE))))))),-(HLOOKUP(N8,'Maximum Capital Rates - School'!A$18:F$44,M8+2,FALSE)+IF(AND(N8="Small",O8="YES"),IF(M8=0,10000,0),0)+V8+IF(T8="YES",IF(IF(N8="Small",VLOOKUP(M8,'Maximum Capital Rates - School'!H$18:W$44,2,FALSE),IF(N8="Medium",VLOOKUP(M8,'Maximum Capital Rates - School'!H$18:W$44,5,FALSE),IF(N8="Large",VLOOKUP(M8,'Maximum Capital Rates - School'!H$18:W$44,8,FALSE),IF(N8="X-Large",VLOOKUP(M8,'Maximum Capital Rates - School'!H$18:W$44,11,FALSE),IF(N8="Artic",VLOOKUP(M8,'Maximum Capital Rates - School'!H$18:W$44,14,FALSE))))))&gt;4,U8,0),0)),HLOOKUP(N8,'Maximum Capital Rates - School'!B$2:F$14,8,FALSE),0)+IF(OR(N8="Small",AD8="false"),0,VLOOKUP(M8,'Maximum Capital Rates - School'!A$18:G$44,7,FALSE)),PMT(K8*HLOOKUP('Contract Amount Calc - School'!N8,'Maximum Capital Rates - School'!B$2:F$14,12,FALSE)+(K8+1.5%)*(1-HLOOKUP('Contract Amount Calc - School'!N8,'Maximum Capital Rates - School'!B$2:F$14,12,FALSE)),(IF(N8="Small",VLOOKUP(M8,'Maximum Capital Rates - School'!H$18:W$44,2,FALSE),IF(N8="Medium",VLOOKUP(M8,'Maximum Capital Rates - School'!H$18:W$44,5,FALSE),IF(N8="Large",VLOOKUP(M8,'Maximum Capital Rates - School'!H$18:W$44,8,FALSE),IF(N8="X-Large",VLOOKUP(M8,'Maximum Capital Rates - School'!H$18:W$44,11,FALSE),IF(N8="Artic",VLOOKUP(M8,'Maximum Capital Rates - School'!H$18:W$44,14,FALSE))))))),-(HLOOKUP(N8,'Maximum Capital Rates - School'!A$18:F$44,M8+2,FALSE)+IF(AND(N8="Small",O8="YES"),IF(M8=0,10000,0),0)+V8+IF(T8="YES",IF(IF(N8="Small",VLOOKUP(M8,'Maximum Capital Rates - School'!H$18:W$44,2,FALSE),IF(N8="Medium",VLOOKUP(M8,'Maximum Capital Rates - School'!H$18:W$44,5,FALSE),IF(N8="Large",VLOOKUP(M8,'Maximum Capital Rates - School'!H$18:W$44,8,FALSE),IF(N8="X-Large",VLOOKUP(M8,'Maximum Capital Rates - School'!H$18:W$44,11,FALSE),IF(N8="Artic",VLOOKUP(M8,'Maximum Capital Rates - School'!H$18:W$44,14,FALSE))))))&gt;4,U8,0),0)),HLOOKUP(N8,'Maximum Capital Rates - School'!B$2:F$14,8,FALSE),0)+IF(OR(N8="Small",AD8="false"),0,VLOOKUP(M8,'Maximum Capital Rates - School'!A$18:G$44,7,FALSE)),(PMT(K8*HLOOKUP('Contract Amount Calc - School'!N8,'Maximum Capital Rates - School'!B$2:F$14,12,FALSE)+(K8+1.5%)*(1-HLOOKUP('Contract Amount Calc - School'!N8,'Maximum Capital Rates - School'!B$2:F$14,12,FALSE)),(IF(N8="Small",VLOOKUP(M8,'Maximum Capital Rates - School'!H$18:W$44,2,FALSE),IF(N8="Medium",VLOOKUP(M8,'Maximum Capital Rates - School'!H$18:W$44,5,FALSE),IF(N8="Large",VLOOKUP(M8,'Maximum Capital Rates - School'!H$18:W$44,8,FALSE),IF(N8="X-Large",VLOOKUP(M8,'Maximum Capital Rates - School'!H$18:W$44,11,FALSE),IF(N8="Artic",VLOOKUP(M8,'Maximum Capital Rates - School'!H$18:W$44,14,FALSE))))))),-(Q8+V8+IF(T8="YES",IF(IF(N8="Small",VLOOKUP(M8,'Maximum Capital Rates - School'!H$18:W$44,2,FALSE),IF(N8="Medium",VLOOKUP(M8,'Maximum Capital Rates - School'!H$18:W$44,5,FALSE),IF(N8="Large",VLOOKUP(M8,'Maximum Capital Rates - School'!H$18:W$44,8,FALSE),IF(N8="X-Large",VLOOKUP(M8,'Maximum Capital Rates - School'!H$18:W$44,11,FALSE),IF(N8="Artic",VLOOKUP(M8,'Maximum Capital Rates - School'!H$18:W$44,14,FALSE))))))&gt;4,U8,0),0)+HLOOKUP(N8,'Maximum Capital Rates - School'!B$2:F$14,6,FALSE)),HLOOKUP(N8,'Maximum Capital Rates - School'!B$2:F$14,8,FALSE),0)+IF(OR(N8="Small",AD8="false"),0,VLOOKUP(M8,'Maximum Capital Rates - School'!A$18:G$44,7,FALSE)))),Z8,H8)</f>
        <v>#N/A</v>
      </c>
      <c r="Z8" s="124" t="e">
        <f ca="1">IF(PMT(K8*HLOOKUP('Contract Amount Calc - School'!N8,'Maximum Capital Rates - School'!B$2:F$14,12,FALSE)+(K8+1.5%)*(1-HLOOKUP('Contract Amount Calc - School'!N8,'Maximum Capital Rates - School'!B$2:F$14,12,FALSE)),(IF(N8="Small",VLOOKUP(M8,'Maximum Capital Rates - School'!H$18:W$44,2,FALSE),IF(N8="Medium",VLOOKUP(M8,'Maximum Capital Rates - School'!H$18:W$44,5,FALSE),IF(N8="Large",VLOOKUP(M8,'Maximum Capital Rates - School'!H$18:W$44,8,FALSE),IF(N8="X-Large",VLOOKUP(M8,'Maximum Capital Rates - School'!H$18:W$44,11,FALSE),IF(N8="Artic",VLOOKUP(M8,'Maximum Capital Rates - School'!H$18:W$44,14,FALSE))))))),-(Q8+V8+IF(T8="YES",IF(IF(N8="Small",VLOOKUP(M8,'Maximum Capital Rates - School'!H$18:W$44,2,FALSE),IF(N8="Medium",VLOOKUP(M8,'Maximum Capital Rates - School'!H$18:W$44,5,FALSE),IF(N8="Large",VLOOKUP(M8,'Maximum Capital Rates - School'!H$18:W$44,8,FALSE),IF(N8="X-Large",VLOOKUP(M8,'Maximum Capital Rates - School'!H$18:W$44,11,FALSE),IF(N8="Artic",VLOOKUP(M8,'Maximum Capital Rates - School'!H$18:W$44,14,FALSE))))))&gt;4,U8,0),0)+HLOOKUP(N8,'Maximum Capital Rates - School'!B$2:F$14,6,FALSE)),HLOOKUP(N8,'Maximum Capital Rates - School'!B$2:F$14,8,FALSE),0)+IF(OR(N8="Small",AD8="false"),0,VLOOKUP(M8,'Maximum Capital Rates - School'!A$18:G$44,7,FALSE))&gt;PMT(K8*HLOOKUP('Contract Amount Calc - School'!N8,'Maximum Capital Rates - School'!B$2:F$14,12,FALSE)+(K8+1.5%)*(1-HLOOKUP('Contract Amount Calc - School'!N8,'Maximum Capital Rates - School'!B$2:F$14,12,FALSE)),(IF(N8="Small",VLOOKUP(M8,'Maximum Capital Rates - School'!H$18:W$44,2,FALSE),IF(N8="Medium",VLOOKUP(M8,'Maximum Capital Rates - School'!H$18:W$44,5,FALSE),IF(N8="Large",VLOOKUP(M8,'Maximum Capital Rates - School'!H$18:W$44,8,FALSE),IF(N8="X-Large",VLOOKUP(M8,'Maximum Capital Rates - School'!H$18:W$44,11,FALSE),IF(N8="Artic",VLOOKUP(M8,'Maximum Capital Rates - School'!H$18:W$44,14,FALSE))))))),-(HLOOKUP(N8,'Maximum Capital Rates - School'!A$18:F$44,M8+2,FALSE)+IF(AND(N8="Small",O8="YES"),IF(M8=0,10000,0),0)+V8+IF(T8="YES",IF(IF(N8="Small",VLOOKUP(M8,'Maximum Capital Rates - School'!H$18:W$44,2,FALSE),IF(N8="Medium",VLOOKUP(M8,'Maximum Capital Rates - School'!H$18:W$44,5,FALSE),IF(N8="Large",VLOOKUP(M8,'Maximum Capital Rates - School'!H$18:W$44,8,FALSE),IF(N8="X-Large",VLOOKUP(M8,'Maximum Capital Rates - School'!H$18:W$44,11,FALSE),IF(N8="Artic",VLOOKUP(M8,'Maximum Capital Rates - School'!H$18:W$44,14,FALSE))))))&gt;4,U8,0),0)),HLOOKUP(N8,'Maximum Capital Rates - School'!B$2:F$14,8,FALSE),0)+IF(OR(N8="Small",AD8="false"),0,VLOOKUP(M8,'Maximum Capital Rates - School'!A$18:G$44,7,FALSE)),PMT(K8*HLOOKUP('Contract Amount Calc - School'!N8,'Maximum Capital Rates - School'!B$2:F$14,12,FALSE)+(K8+1.5%)*(1-HLOOKUP('Contract Amount Calc - School'!N8,'Maximum Capital Rates - School'!B$2:F$14,12,FALSE)),(IF(N8="Small",VLOOKUP(M8,'Maximum Capital Rates - School'!H$18:W$44,2,FALSE),IF(N8="Medium",VLOOKUP(M8,'Maximum Capital Rates - School'!H$18:W$44,5,FALSE),IF(N8="Large",VLOOKUP(M8,'Maximum Capital Rates - School'!H$18:W$44,8,FALSE),IF(N8="X-Large",VLOOKUP(M8,'Maximum Capital Rates - School'!H$18:W$44,11,FALSE),IF(N8="Artic",VLOOKUP(M8,'Maximum Capital Rates - School'!H$18:W$44,14,FALSE))))))),-(HLOOKUP(N8,'Maximum Capital Rates - School'!A$18:F$44,M8+2,FALSE)+IF(AND(N8="Small",O8="YES"),IF(M8=0,10000,0),0)+V8+IF(T8="YES",IF(IF(N8="Small",VLOOKUP(M8,'Maximum Capital Rates - School'!H$18:W$44,2,FALSE),IF(N8="Medium",VLOOKUP(M8,'Maximum Capital Rates - School'!H$18:W$44,5,FALSE),IF(N8="Large",VLOOKUP(M8,'Maximum Capital Rates - School'!H$18:W$44,8,FALSE),IF(N8="X-Large",VLOOKUP(M8,'Maximum Capital Rates - School'!H$18:W$44,11,FALSE),IF(N8="Artic",VLOOKUP(M8,'Maximum Capital Rates - School'!H$18:W$44,14,FALSE))))))&gt;4,U8,0),0)),HLOOKUP(N8,'Maximum Capital Rates - School'!B$2:F$14,8,FALSE),0)+IF(OR(N8="Small",AD8="false"),0,VLOOKUP(M8,'Maximum Capital Rates - School'!A$18:G$44,7,FALSE)),(PMT(K8*HLOOKUP('Contract Amount Calc - School'!N8,'Maximum Capital Rates - School'!B$2:F$14,12,FALSE)+(K8+1.5%)*(1-HLOOKUP('Contract Amount Calc - School'!N8,'Maximum Capital Rates - School'!B$2:F$14,12,FALSE)),(IF(N8="Small",VLOOKUP(M8,'Maximum Capital Rates - School'!H$18:W$44,2,FALSE),IF(N8="Medium",VLOOKUP(M8,'Maximum Capital Rates - School'!H$18:W$44,5,FALSE),IF(N8="Large",VLOOKUP(M8,'Maximum Capital Rates - School'!H$18:W$44,8,FALSE),IF(N8="X-Large",VLOOKUP(M8,'Maximum Capital Rates - School'!H$18:W$44,11,FALSE),IF(N8="Artic",VLOOKUP(M8,'Maximum Capital Rates - School'!H$18:W$44,14,FALSE))))))),-(Q8+V8+IF(T8="YES",IF(IF(N8="Small",VLOOKUP(M8,'Maximum Capital Rates - School'!H$18:W$44,2,FALSE),IF(N8="Medium",VLOOKUP(M8,'Maximum Capital Rates - School'!H$18:W$44,5,FALSE),IF(N8="Large",VLOOKUP(M8,'Maximum Capital Rates - School'!H$18:W$44,8,FALSE),IF(N8="X-Large",VLOOKUP(M8,'Maximum Capital Rates - School'!H$18:W$44,11,FALSE),IF(N8="Artic",VLOOKUP(M8,'Maximum Capital Rates - School'!H$18:W$44,14,FALSE))))))&gt;4,U8,0),0)+HLOOKUP(N8,'Maximum Capital Rates - School'!B$2:F$14,6,FALSE)),HLOOKUP(N8,'Maximum Capital Rates - School'!B$2:F$14,8,FALSE),0)+IF(OR(N8="Small",AD8="false"),0,VLOOKUP(M8,'Maximum Capital Rates - School'!A$18:G$44,7,FALSE))))</f>
        <v>#N/A</v>
      </c>
      <c r="AA8" s="1">
        <f>IF(F8="YES",200000,IF(N8="Small",ROUND(VLOOKUP(M8,'Maximum Capital Rates - School'!A$18:F$44,2,FALSE),0),IF(N8="Medium",ROUND(VLOOKUP(M8,'Maximum Capital Rates - School'!A$18:F$44,3,FALSE),0),IF(N8="Large",ROUND(VLOOKUP(M8,'Maximum Capital Rates - School'!A$18:F$44,4,FALSE),0),IF(N8="X-Large",ROUND(VLOOKUP(M8,'Maximum Capital Rates - School'!A$18:F$44,5,FALSE),0),IF(N8="Artic",ROUND(VLOOKUP(M8,'Maximum Capital Rates - School'!A$18:F$44,6,FALSE),0))))))+IF(AND(N8="Small",O8="YES"),IF(M8=0,10000,0),0))</f>
        <v>0</v>
      </c>
      <c r="AB8" s="105" t="str">
        <f t="shared" si="1"/>
        <v>true</v>
      </c>
      <c r="AC8" s="1" t="str">
        <f>IF(J8&lt;2019,"true","false")</f>
        <v>true</v>
      </c>
      <c r="AD8" s="1" t="str">
        <f t="shared" si="3"/>
        <v>false</v>
      </c>
      <c r="JF8"/>
    </row>
    <row r="9" spans="1:266" x14ac:dyDescent="0.35">
      <c r="A9" s="106"/>
      <c r="B9" s="120" t="s">
        <v>129</v>
      </c>
      <c r="C9" s="132" t="s">
        <v>5</v>
      </c>
      <c r="D9" s="111"/>
      <c r="E9" s="139"/>
      <c r="F9" s="139"/>
      <c r="G9" s="139"/>
      <c r="H9" s="139"/>
      <c r="I9" s="232"/>
      <c r="J9" s="232"/>
      <c r="K9" s="248"/>
      <c r="L9" s="139"/>
      <c r="M9" s="110"/>
      <c r="N9" s="110"/>
      <c r="O9" s="110"/>
      <c r="P9" s="110"/>
      <c r="Q9" s="110"/>
      <c r="R9" s="110"/>
      <c r="S9" s="110"/>
      <c r="T9" s="110"/>
      <c r="U9" s="110"/>
      <c r="V9" s="110"/>
      <c r="W9" s="110"/>
      <c r="X9" s="105"/>
      <c r="Y9" s="105"/>
      <c r="Z9" s="105"/>
      <c r="AA9" s="105"/>
      <c r="AB9" s="105"/>
      <c r="JF9"/>
    </row>
    <row r="10" spans="1:266" ht="15" thickBot="1" x14ac:dyDescent="0.4">
      <c r="A10" s="106"/>
      <c r="B10" s="119" t="s">
        <v>88</v>
      </c>
      <c r="C10" s="132"/>
      <c r="D10" s="111"/>
      <c r="E10" s="139"/>
      <c r="F10" s="139"/>
      <c r="G10" s="139"/>
      <c r="H10" s="139"/>
      <c r="I10" s="232"/>
      <c r="J10" s="232"/>
      <c r="K10" s="248"/>
      <c r="L10" s="139"/>
      <c r="M10" s="110"/>
      <c r="N10" s="110"/>
      <c r="O10" s="110"/>
      <c r="P10" s="110"/>
      <c r="Q10" s="110"/>
      <c r="R10" s="110"/>
      <c r="S10" s="110"/>
      <c r="T10" s="110"/>
      <c r="U10" s="110"/>
      <c r="V10" s="110"/>
      <c r="W10" s="110"/>
      <c r="X10" s="105"/>
      <c r="Y10" s="105"/>
      <c r="Z10" s="105"/>
      <c r="AA10" s="105"/>
      <c r="AB10" s="105"/>
      <c r="JF10"/>
    </row>
    <row r="11" spans="1:266" ht="15" customHeight="1" thickBot="1" x14ac:dyDescent="0.4">
      <c r="A11" s="106"/>
      <c r="B11" s="120" t="s">
        <v>86</v>
      </c>
      <c r="C11" s="132"/>
      <c r="D11" s="111"/>
      <c r="E11" s="263" t="s">
        <v>100</v>
      </c>
      <c r="F11" s="265"/>
      <c r="G11" s="265"/>
      <c r="H11" s="265"/>
      <c r="I11" s="265"/>
      <c r="J11" s="265"/>
      <c r="K11" s="265"/>
      <c r="L11" s="264"/>
      <c r="M11" s="204"/>
      <c r="N11" s="205"/>
      <c r="O11" s="206"/>
      <c r="P11" s="206"/>
      <c r="Q11" s="206"/>
      <c r="R11" s="206"/>
      <c r="S11" s="206"/>
      <c r="T11" s="206"/>
      <c r="U11" s="206"/>
      <c r="V11" s="206"/>
      <c r="W11" s="206"/>
      <c r="X11" s="105"/>
      <c r="Y11" s="105"/>
      <c r="Z11" s="105"/>
      <c r="AA11" s="105"/>
      <c r="AB11" s="105"/>
      <c r="JF11"/>
    </row>
    <row r="12" spans="1:266" ht="13.5" customHeight="1" x14ac:dyDescent="0.35">
      <c r="A12" s="106"/>
      <c r="B12" s="119" t="s">
        <v>87</v>
      </c>
      <c r="C12" s="132"/>
      <c r="D12" s="111"/>
      <c r="E12" s="137"/>
      <c r="F12" s="173"/>
      <c r="G12" s="173"/>
      <c r="H12" s="173"/>
      <c r="I12" s="233"/>
      <c r="J12" s="233"/>
      <c r="K12" s="249"/>
      <c r="L12" s="174"/>
      <c r="M12" s="204"/>
      <c r="N12" s="205"/>
      <c r="O12" s="206"/>
      <c r="P12" s="275" t="s">
        <v>167</v>
      </c>
      <c r="Q12" s="276"/>
      <c r="R12" s="276"/>
      <c r="S12" s="276"/>
      <c r="T12" s="276"/>
      <c r="U12" s="276"/>
      <c r="V12" s="276"/>
      <c r="W12" s="277"/>
      <c r="X12" s="105"/>
      <c r="Y12" s="105"/>
      <c r="Z12" s="105"/>
      <c r="AA12" s="105"/>
      <c r="AB12" s="105"/>
      <c r="JF12"/>
    </row>
    <row r="13" spans="1:266" ht="15.5" x14ac:dyDescent="0.35">
      <c r="A13" s="106"/>
      <c r="B13" s="119" t="s">
        <v>124</v>
      </c>
      <c r="C13" s="132" t="s">
        <v>5</v>
      </c>
      <c r="D13" s="111"/>
      <c r="E13" s="147" t="s">
        <v>133</v>
      </c>
      <c r="F13" s="148" t="s">
        <v>134</v>
      </c>
      <c r="G13" s="145"/>
      <c r="H13" s="145"/>
      <c r="I13" s="145"/>
      <c r="J13" s="145"/>
      <c r="K13" s="145"/>
      <c r="L13" s="146"/>
      <c r="M13" s="204"/>
      <c r="N13" s="260"/>
      <c r="O13" s="206"/>
      <c r="P13" s="278"/>
      <c r="Q13" s="279"/>
      <c r="R13" s="279"/>
      <c r="S13" s="279"/>
      <c r="T13" s="279"/>
      <c r="U13" s="279"/>
      <c r="V13" s="279"/>
      <c r="W13" s="280"/>
      <c r="X13" s="105"/>
      <c r="Y13" s="105"/>
      <c r="Z13" s="105"/>
      <c r="AA13" s="105"/>
      <c r="AB13" s="105"/>
      <c r="JF13"/>
    </row>
    <row r="14" spans="1:266" x14ac:dyDescent="0.35">
      <c r="A14" s="106"/>
      <c r="B14" s="120" t="s">
        <v>85</v>
      </c>
      <c r="C14" s="132"/>
      <c r="D14" s="111"/>
      <c r="E14" s="266" t="s">
        <v>132</v>
      </c>
      <c r="F14" s="267"/>
      <c r="G14" s="267"/>
      <c r="H14" s="267"/>
      <c r="I14" s="267"/>
      <c r="J14" s="267"/>
      <c r="K14" s="267"/>
      <c r="L14" s="268"/>
      <c r="M14" s="204"/>
      <c r="N14" s="205"/>
      <c r="O14" s="206"/>
      <c r="P14" s="281" t="s">
        <v>163</v>
      </c>
      <c r="Q14" s="282"/>
      <c r="R14" s="282"/>
      <c r="S14" s="282"/>
      <c r="T14" s="282"/>
      <c r="U14" s="282"/>
      <c r="V14" s="284" t="s">
        <v>120</v>
      </c>
      <c r="W14" s="285"/>
      <c r="X14" s="105"/>
      <c r="Y14" s="105"/>
      <c r="Z14" s="105"/>
      <c r="AA14" s="105"/>
      <c r="AB14" s="105"/>
      <c r="JF14"/>
    </row>
    <row r="15" spans="1:266" ht="15" customHeight="1" x14ac:dyDescent="0.35">
      <c r="A15" s="106"/>
      <c r="B15" s="122" t="s">
        <v>130</v>
      </c>
      <c r="C15" s="132"/>
      <c r="D15" s="111"/>
      <c r="E15" s="149">
        <f>IF(C5="Please Select",0,C23*C5)</f>
        <v>0</v>
      </c>
      <c r="F15" s="150">
        <f>E15*1.1</f>
        <v>0</v>
      </c>
      <c r="G15" s="271" t="s">
        <v>94</v>
      </c>
      <c r="H15" s="271"/>
      <c r="I15" s="271"/>
      <c r="J15" s="271"/>
      <c r="K15" s="271"/>
      <c r="L15" s="272"/>
      <c r="M15" s="204"/>
      <c r="N15" s="205"/>
      <c r="O15" s="206"/>
      <c r="P15" s="281" t="s">
        <v>168</v>
      </c>
      <c r="Q15" s="282"/>
      <c r="R15" s="282"/>
      <c r="S15" s="282"/>
      <c r="T15" s="282"/>
      <c r="U15" s="282"/>
      <c r="V15" s="286"/>
      <c r="W15" s="287"/>
      <c r="X15" s="105"/>
      <c r="Y15" s="105"/>
      <c r="Z15" s="105"/>
      <c r="AA15" s="105"/>
      <c r="AB15" s="105"/>
      <c r="JF15"/>
    </row>
    <row r="16" spans="1:266" x14ac:dyDescent="0.35">
      <c r="A16" s="106"/>
      <c r="B16" s="119" t="s">
        <v>82</v>
      </c>
      <c r="C16" s="132" t="s">
        <v>118</v>
      </c>
      <c r="D16" s="108"/>
      <c r="E16" s="149">
        <f>IF(C8="Please Select",0,(C28*C26)*C27+C5*IF(C$21="&lt;40Km",C5*Sheet1!D7,Sheet1!D7+Sheet1!E7)+(C8*Sheet1!D22))</f>
        <v>0</v>
      </c>
      <c r="F16" s="150">
        <f t="shared" ref="F16:F20" si="4">E16*1.1</f>
        <v>0</v>
      </c>
      <c r="G16" s="271" t="s">
        <v>89</v>
      </c>
      <c r="H16" s="271"/>
      <c r="I16" s="271"/>
      <c r="J16" s="271"/>
      <c r="K16" s="271"/>
      <c r="L16" s="272"/>
      <c r="M16" s="204"/>
      <c r="N16" s="205"/>
      <c r="O16" s="206"/>
      <c r="P16" s="281" t="s">
        <v>164</v>
      </c>
      <c r="Q16" s="282"/>
      <c r="R16" s="282"/>
      <c r="S16" s="282"/>
      <c r="T16" s="282"/>
      <c r="U16" s="282"/>
      <c r="V16" s="288"/>
      <c r="W16" s="289"/>
      <c r="X16" s="223">
        <f ca="1">YEAR( TODAY())-V17</f>
        <v>2020</v>
      </c>
      <c r="Y16" s="105"/>
      <c r="Z16" s="105"/>
      <c r="AA16" s="105"/>
      <c r="AB16" s="105"/>
      <c r="JF16"/>
    </row>
    <row r="17" spans="1:266" x14ac:dyDescent="0.35">
      <c r="A17" s="106"/>
      <c r="B17" s="121" t="s">
        <v>83</v>
      </c>
      <c r="C17" s="133" t="s">
        <v>6</v>
      </c>
      <c r="D17" s="109"/>
      <c r="E17" s="149">
        <f>IF(C13="YES",IF((C12+C14)&lt;=(C10*1.1),(C14*Sheet1!D64)*C27,IF(((C10*1.1)-C12)&lt;0,0,(((C10*1.1)-C12)*Sheet1!D64)*C27)),0)</f>
        <v>0</v>
      </c>
      <c r="F17" s="150">
        <f t="shared" si="4"/>
        <v>0</v>
      </c>
      <c r="G17" s="271" t="s">
        <v>95</v>
      </c>
      <c r="H17" s="271"/>
      <c r="I17" s="271"/>
      <c r="J17" s="271"/>
      <c r="K17" s="271"/>
      <c r="L17" s="272"/>
      <c r="M17" s="204"/>
      <c r="N17" s="205"/>
      <c r="O17" s="206"/>
      <c r="P17" s="281" t="s">
        <v>104</v>
      </c>
      <c r="Q17" s="282"/>
      <c r="R17" s="282"/>
      <c r="S17" s="282"/>
      <c r="T17" s="282"/>
      <c r="U17" s="282"/>
      <c r="V17" s="288"/>
      <c r="W17" s="289"/>
      <c r="X17" s="223">
        <f>V16-V17</f>
        <v>0</v>
      </c>
      <c r="Y17" s="105"/>
      <c r="Z17" s="105"/>
      <c r="AA17" s="105"/>
      <c r="AB17" s="105"/>
    </row>
    <row r="18" spans="1:266" ht="16" thickBot="1" x14ac:dyDescent="0.4">
      <c r="A18" s="106"/>
      <c r="B18" s="122" t="s">
        <v>151</v>
      </c>
      <c r="C18" s="133" t="s">
        <v>6</v>
      </c>
      <c r="D18" s="109"/>
      <c r="E18" s="149">
        <f>IF(C4="Please Select",0,((C10+C12)*Sheet1!D61)*C27)</f>
        <v>0</v>
      </c>
      <c r="F18" s="150">
        <f t="shared" si="4"/>
        <v>0</v>
      </c>
      <c r="G18" s="269" t="s">
        <v>90</v>
      </c>
      <c r="H18" s="269"/>
      <c r="I18" s="269"/>
      <c r="J18" s="269"/>
      <c r="K18" s="269"/>
      <c r="L18" s="270"/>
      <c r="M18" s="204"/>
      <c r="N18" s="205"/>
      <c r="O18" s="206"/>
      <c r="P18" s="283" t="s">
        <v>169</v>
      </c>
      <c r="Q18" s="273"/>
      <c r="R18" s="273"/>
      <c r="S18" s="273"/>
      <c r="T18" s="273"/>
      <c r="U18" s="273"/>
      <c r="V18" s="273">
        <f>IF(V17="",0,(V15-((V15-HLOOKUP(V14,'Maximum Capital Rates - School'!A2:F14,8,FALSE))/(HLOOKUP(V14,'Maximum Capital Rates - School'!A2:F14,4,FALSE)-X17))*(X16-X17)))</f>
        <v>0</v>
      </c>
      <c r="W18" s="274"/>
      <c r="X18" s="105"/>
      <c r="Y18" s="105"/>
      <c r="Z18" s="105"/>
      <c r="AA18" s="105"/>
      <c r="AB18" s="105"/>
    </row>
    <row r="19" spans="1:266" x14ac:dyDescent="0.35">
      <c r="A19" s="106"/>
      <c r="B19" s="122" t="s">
        <v>125</v>
      </c>
      <c r="C19" s="132" t="s">
        <v>5</v>
      </c>
      <c r="D19" s="109"/>
      <c r="E19" s="149">
        <f>SUM(E15:E18)*Sheet1!C67</f>
        <v>0</v>
      </c>
      <c r="F19" s="150">
        <f t="shared" si="4"/>
        <v>0</v>
      </c>
      <c r="G19" s="269" t="s">
        <v>115</v>
      </c>
      <c r="H19" s="269"/>
      <c r="I19" s="269"/>
      <c r="J19" s="269"/>
      <c r="K19" s="269"/>
      <c r="L19" s="270"/>
      <c r="M19" s="204"/>
      <c r="N19" s="205"/>
      <c r="O19" s="206"/>
      <c r="P19" s="206"/>
      <c r="Q19" s="206"/>
      <c r="R19" s="206"/>
      <c r="S19" s="206"/>
      <c r="T19" s="206"/>
      <c r="U19" s="206"/>
      <c r="V19" s="206"/>
      <c r="W19" s="206"/>
      <c r="X19" s="105"/>
      <c r="Y19" s="105"/>
      <c r="Z19" s="105"/>
      <c r="AA19" s="105"/>
      <c r="AB19" s="105"/>
    </row>
    <row r="20" spans="1:266" ht="15.5" x14ac:dyDescent="0.35">
      <c r="A20" s="106"/>
      <c r="B20" s="121" t="s">
        <v>92</v>
      </c>
      <c r="C20" s="133"/>
      <c r="D20" s="109"/>
      <c r="E20" s="149">
        <f>SUM(E15:E19)</f>
        <v>0</v>
      </c>
      <c r="F20" s="150">
        <f t="shared" si="4"/>
        <v>0</v>
      </c>
      <c r="G20" s="290" t="s">
        <v>99</v>
      </c>
      <c r="H20" s="290"/>
      <c r="I20" s="290"/>
      <c r="J20" s="290"/>
      <c r="K20" s="290"/>
      <c r="L20" s="291"/>
      <c r="M20" s="204"/>
      <c r="N20" s="205"/>
      <c r="O20" s="206"/>
      <c r="P20" s="206"/>
      <c r="Q20" s="206"/>
      <c r="R20" s="206"/>
      <c r="S20" s="206"/>
      <c r="T20" s="206"/>
      <c r="U20" s="206"/>
      <c r="V20" s="206"/>
      <c r="W20" s="206"/>
      <c r="X20" s="105"/>
      <c r="Y20" s="105"/>
      <c r="Z20" s="105"/>
      <c r="AA20" s="105"/>
      <c r="AB20" s="105"/>
      <c r="JF20"/>
    </row>
    <row r="21" spans="1:266" ht="16" thickBot="1" x14ac:dyDescent="0.4">
      <c r="A21" s="106"/>
      <c r="B21" s="154" t="s">
        <v>126</v>
      </c>
      <c r="C21" s="155" t="s">
        <v>110</v>
      </c>
      <c r="D21" s="110"/>
      <c r="E21" s="138"/>
      <c r="F21" s="112"/>
      <c r="G21" s="112"/>
      <c r="H21" s="290"/>
      <c r="I21" s="290"/>
      <c r="J21" s="290"/>
      <c r="K21" s="290"/>
      <c r="L21" s="291"/>
      <c r="M21" s="204"/>
      <c r="N21" s="205"/>
      <c r="O21" s="206"/>
      <c r="P21" s="206"/>
      <c r="Q21" s="206"/>
      <c r="R21" s="206"/>
      <c r="S21" s="206"/>
      <c r="T21" s="206"/>
      <c r="U21" s="206"/>
      <c r="V21" s="206"/>
      <c r="W21" s="206"/>
      <c r="X21" s="105"/>
      <c r="Y21" s="105"/>
      <c r="Z21" s="105"/>
      <c r="AA21" s="105"/>
      <c r="AB21" s="105"/>
      <c r="JF21"/>
    </row>
    <row r="22" spans="1:266" x14ac:dyDescent="0.35">
      <c r="A22" s="106"/>
      <c r="B22" s="113" t="s">
        <v>154</v>
      </c>
      <c r="C22" s="180">
        <f>IFERROR((C10/(C11/60)),0)</f>
        <v>0</v>
      </c>
      <c r="D22" s="110"/>
      <c r="E22" s="294" t="s">
        <v>131</v>
      </c>
      <c r="F22" s="295"/>
      <c r="G22" s="295"/>
      <c r="H22" s="295"/>
      <c r="I22" s="295"/>
      <c r="J22" s="295"/>
      <c r="K22" s="295"/>
      <c r="L22" s="296"/>
      <c r="M22" s="204"/>
      <c r="N22" s="205"/>
      <c r="O22" s="206"/>
      <c r="P22" s="206"/>
      <c r="Q22" s="206"/>
      <c r="R22" s="206"/>
      <c r="S22" s="206"/>
      <c r="T22" s="206"/>
      <c r="U22" s="206"/>
      <c r="V22" s="206"/>
      <c r="W22" s="206"/>
      <c r="X22" s="105"/>
      <c r="Y22" s="105"/>
      <c r="Z22" s="105"/>
      <c r="AA22" s="105"/>
      <c r="AB22" s="105"/>
      <c r="JF22"/>
    </row>
    <row r="23" spans="1:266" x14ac:dyDescent="0.35">
      <c r="A23" s="106"/>
      <c r="B23" s="113" t="s">
        <v>78</v>
      </c>
      <c r="C23" s="115">
        <f>IF(C2="Please Select",0,Sheet1!F40+(IF(C6="Yes",2180,695)))</f>
        <v>0</v>
      </c>
      <c r="D23" s="110"/>
      <c r="E23" s="140">
        <f ca="1">IFERROR(SUM(W3:W8),0)</f>
        <v>0</v>
      </c>
      <c r="F23" s="141">
        <f ca="1">E23*1.1</f>
        <v>0</v>
      </c>
      <c r="G23" s="271" t="s">
        <v>101</v>
      </c>
      <c r="H23" s="271"/>
      <c r="I23" s="271"/>
      <c r="J23" s="271"/>
      <c r="K23" s="271"/>
      <c r="L23" s="272"/>
      <c r="M23" s="204"/>
      <c r="N23" s="205"/>
      <c r="O23" s="259"/>
      <c r="P23" s="206"/>
      <c r="Q23" s="206"/>
      <c r="R23" s="206"/>
      <c r="S23" s="206"/>
      <c r="T23" s="206"/>
      <c r="U23" s="206"/>
      <c r="V23" s="206"/>
      <c r="W23" s="206"/>
      <c r="X23" s="105"/>
      <c r="Y23" s="105"/>
      <c r="Z23" s="105"/>
      <c r="AA23" s="105"/>
      <c r="AB23" s="105"/>
      <c r="JF23"/>
    </row>
    <row r="24" spans="1:266" x14ac:dyDescent="0.35">
      <c r="A24" s="106"/>
      <c r="B24" s="113" t="s">
        <v>102</v>
      </c>
      <c r="C24" s="114">
        <f>IF(C4="Please Select",0,Sheet1!D61)</f>
        <v>0</v>
      </c>
      <c r="D24" s="110"/>
      <c r="E24" s="140">
        <f ca="1">SUM(X3:X8)</f>
        <v>0</v>
      </c>
      <c r="F24" s="141">
        <f t="shared" ref="F24:F25" ca="1" si="5">E24*1.1</f>
        <v>0</v>
      </c>
      <c r="G24" s="271" t="s">
        <v>137</v>
      </c>
      <c r="H24" s="271"/>
      <c r="I24" s="271"/>
      <c r="J24" s="271"/>
      <c r="K24" s="271"/>
      <c r="L24" s="272"/>
      <c r="M24" s="204"/>
      <c r="N24" s="205"/>
      <c r="O24" s="206"/>
      <c r="P24" s="206"/>
      <c r="Q24" s="206"/>
      <c r="R24" s="206"/>
      <c r="S24" s="206"/>
      <c r="T24" s="206"/>
      <c r="U24" s="206"/>
      <c r="V24" s="206"/>
      <c r="W24" s="206"/>
      <c r="X24" s="105"/>
      <c r="Y24" s="105"/>
      <c r="Z24" s="105"/>
      <c r="AA24" s="105"/>
      <c r="AB24" s="105"/>
      <c r="JF24"/>
    </row>
    <row r="25" spans="1:266" ht="17.5" thickBot="1" x14ac:dyDescent="0.45">
      <c r="A25" s="106"/>
      <c r="B25" s="113" t="s">
        <v>103</v>
      </c>
      <c r="C25" s="114">
        <f>Sheet1!D64</f>
        <v>0.68</v>
      </c>
      <c r="D25" s="110"/>
      <c r="E25" s="142">
        <f ca="1">E20+E23+E24</f>
        <v>0</v>
      </c>
      <c r="F25" s="143">
        <f t="shared" ca="1" si="5"/>
        <v>0</v>
      </c>
      <c r="G25" s="292" t="s">
        <v>136</v>
      </c>
      <c r="H25" s="292"/>
      <c r="I25" s="292"/>
      <c r="J25" s="292"/>
      <c r="K25" s="292"/>
      <c r="L25" s="293"/>
      <c r="M25" s="204"/>
      <c r="N25" s="205"/>
      <c r="O25" s="206"/>
      <c r="P25" s="206"/>
      <c r="Q25" s="206"/>
      <c r="R25" s="206"/>
      <c r="S25" s="206"/>
      <c r="T25" s="206"/>
      <c r="U25" s="206"/>
      <c r="V25" s="206"/>
      <c r="W25" s="206"/>
      <c r="X25" s="105"/>
      <c r="Y25" s="105"/>
      <c r="Z25" s="105"/>
      <c r="AA25" s="105"/>
      <c r="AB25" s="105"/>
    </row>
    <row r="26" spans="1:266" x14ac:dyDescent="0.35">
      <c r="A26" s="106"/>
      <c r="B26" s="113" t="s">
        <v>127</v>
      </c>
      <c r="C26" s="115">
        <f>Driver_Weekday</f>
        <v>31.951839999999997</v>
      </c>
      <c r="D26" s="106"/>
      <c r="E26" s="106" t="s">
        <v>171</v>
      </c>
      <c r="F26" s="107"/>
      <c r="G26" s="107"/>
      <c r="H26" s="107"/>
      <c r="I26" s="107"/>
      <c r="J26" s="107"/>
      <c r="K26" s="107"/>
      <c r="L26" s="107"/>
      <c r="M26" s="110"/>
      <c r="N26" s="110"/>
      <c r="O26" s="110"/>
      <c r="P26" s="110"/>
      <c r="Q26" s="110"/>
      <c r="R26" s="110"/>
      <c r="S26" s="110"/>
      <c r="T26" s="110"/>
      <c r="U26" s="110"/>
      <c r="V26" s="110"/>
      <c r="W26" s="110"/>
      <c r="X26" s="105"/>
      <c r="Y26" s="105"/>
      <c r="Z26" s="105"/>
      <c r="AA26" s="105"/>
      <c r="AB26" s="105"/>
    </row>
    <row r="27" spans="1:266" x14ac:dyDescent="0.35">
      <c r="A27" s="106"/>
      <c r="B27" s="113" t="s">
        <v>84</v>
      </c>
      <c r="C27" s="116">
        <v>195</v>
      </c>
      <c r="D27" s="107"/>
      <c r="E27" s="106"/>
      <c r="F27" s="110"/>
      <c r="G27" s="110"/>
      <c r="H27" s="110"/>
      <c r="I27" s="110"/>
      <c r="J27" s="110"/>
      <c r="K27" s="110"/>
      <c r="L27" s="110"/>
      <c r="M27" s="110"/>
      <c r="N27" s="110"/>
      <c r="O27" s="110"/>
      <c r="P27" s="110"/>
      <c r="Q27" s="110"/>
      <c r="R27" s="110"/>
      <c r="S27" s="110"/>
      <c r="T27" s="110"/>
      <c r="U27" s="110"/>
      <c r="V27" s="110"/>
      <c r="W27" s="110"/>
      <c r="X27" s="105"/>
      <c r="Y27" s="105"/>
      <c r="Z27" s="105"/>
      <c r="AA27" s="105"/>
      <c r="AB27" s="105"/>
    </row>
    <row r="28" spans="1:266" ht="15" thickBot="1" x14ac:dyDescent="0.4">
      <c r="A28" s="106"/>
      <c r="B28" s="117" t="s">
        <v>93</v>
      </c>
      <c r="C28" s="118">
        <f>IFERROR(IF(C9="YES",(4*C8),IF(C8&gt;0,IF(((C12+IF(C13="YES",C14,0))&lt;=(C10*1.1)),CEILING(((C12)/IF((C10/(C11/60))&lt;35,35,(C10/(C11/60))))+(C10/(C10/(C11/60)))+((25/60)*C5)+(C15/60)+IF(C13="YES",((C14*C8)/IF((C10/(C11/60))&lt;35,35,(C10/(C11/60)))),0),0.25),CEILING((C10+(C10*1.1))/IF((C10/(C11/60))&lt;35,35,(C10/(C11/60)))+((25/60)*C5)+(C15/60),0.25)))),0)</f>
        <v>0</v>
      </c>
      <c r="D28" s="107"/>
      <c r="E28" s="106"/>
      <c r="F28" s="110"/>
      <c r="G28" s="110"/>
      <c r="H28" s="110"/>
      <c r="I28" s="110"/>
      <c r="J28" s="110"/>
      <c r="K28" s="110"/>
      <c r="L28" s="110"/>
      <c r="M28" s="110"/>
      <c r="N28" s="110"/>
      <c r="O28" s="110"/>
      <c r="P28" s="110"/>
      <c r="Q28" s="110"/>
      <c r="R28" s="110"/>
      <c r="S28" s="110"/>
      <c r="T28" s="110"/>
      <c r="U28" s="110"/>
      <c r="V28" s="110"/>
      <c r="W28" s="110"/>
      <c r="X28" s="105"/>
      <c r="Y28" s="105"/>
      <c r="Z28" s="105"/>
      <c r="AA28" s="105"/>
      <c r="AB28" s="105"/>
    </row>
    <row r="29" spans="1:266" x14ac:dyDescent="0.35">
      <c r="B29" s="106"/>
      <c r="C29" s="107"/>
      <c r="D29" s="107"/>
      <c r="E29" s="107"/>
      <c r="F29" s="107"/>
      <c r="G29" s="107"/>
      <c r="H29" s="107"/>
      <c r="I29" s="107"/>
      <c r="J29" s="107"/>
      <c r="K29" s="107"/>
      <c r="L29" s="107"/>
      <c r="M29" s="107"/>
      <c r="N29" s="107"/>
      <c r="O29" s="107"/>
      <c r="P29" s="107"/>
      <c r="Q29" s="107"/>
      <c r="R29" s="107"/>
      <c r="S29" s="107"/>
      <c r="T29" s="107"/>
      <c r="U29" s="107"/>
      <c r="V29" s="107"/>
      <c r="W29" s="107"/>
      <c r="X29" s="224" t="s">
        <v>176</v>
      </c>
      <c r="Y29" s="105"/>
      <c r="Z29" s="105"/>
      <c r="AA29" s="105"/>
      <c r="AB29" s="105"/>
    </row>
    <row r="33" spans="8:11" x14ac:dyDescent="0.35">
      <c r="H33" s="207"/>
      <c r="I33" s="207"/>
      <c r="J33" s="207"/>
      <c r="K33" s="207"/>
    </row>
    <row r="104" spans="4:265" ht="15.5" x14ac:dyDescent="0.35">
      <c r="D104" s="42"/>
    </row>
    <row r="105" spans="4:265" x14ac:dyDescent="0.35">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row>
    <row r="106" spans="4:265" x14ac:dyDescent="0.35">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row>
    <row r="107" spans="4:265" ht="15.5" x14ac:dyDescent="0.35">
      <c r="E107" s="44"/>
      <c r="F107" s="39"/>
      <c r="G107" s="39"/>
      <c r="H107" s="40"/>
      <c r="I107" s="40"/>
      <c r="J107" s="40"/>
      <c r="K107" s="40"/>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row>
    <row r="108" spans="4:265" x14ac:dyDescent="0.35">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row>
    <row r="109" spans="4:265" x14ac:dyDescent="0.35">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row>
    <row r="110" spans="4:265" x14ac:dyDescent="0.35">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row>
  </sheetData>
  <sheetProtection algorithmName="SHA-512" hashValue="4yf8CGXw00LsUrmEWx+MmVQ2ExgqgcMOx1XTFMQljlFvrh+snROkOIpsj1K5HrP1wT30aC7f8OK/UTB+RxRvrw==" saltValue="0V62/q4TmBTvvAHk2noxUA==" spinCount="100000" sheet="1" objects="1" scenarios="1" selectLockedCells="1"/>
  <protectedRanges>
    <protectedRange sqref="N3:V8" name="Approved Vehicles2"/>
    <protectedRange sqref="C2:C21 V14" name="Contract Data"/>
    <protectedRange sqref="E3:L8" name="Approved Vehicles1"/>
  </protectedRanges>
  <mergeCells count="25">
    <mergeCell ref="V15:W15"/>
    <mergeCell ref="V16:W16"/>
    <mergeCell ref="V17:W17"/>
    <mergeCell ref="G20:L20"/>
    <mergeCell ref="G25:L25"/>
    <mergeCell ref="G23:L23"/>
    <mergeCell ref="G24:L24"/>
    <mergeCell ref="H21:L21"/>
    <mergeCell ref="E22:L22"/>
    <mergeCell ref="W1:X1"/>
    <mergeCell ref="E11:L11"/>
    <mergeCell ref="E14:L14"/>
    <mergeCell ref="G19:L19"/>
    <mergeCell ref="G18:L18"/>
    <mergeCell ref="G17:L17"/>
    <mergeCell ref="G16:L16"/>
    <mergeCell ref="G15:L15"/>
    <mergeCell ref="V18:W18"/>
    <mergeCell ref="P12:W13"/>
    <mergeCell ref="P14:U14"/>
    <mergeCell ref="P15:U15"/>
    <mergeCell ref="P16:U16"/>
    <mergeCell ref="P17:U17"/>
    <mergeCell ref="P18:U18"/>
    <mergeCell ref="V14:W14"/>
  </mergeCells>
  <dataValidations count="32">
    <dataValidation type="list" allowBlank="1" showInputMessage="1" showErrorMessage="1" sqref="WVS983110 C65580 JG65606 TC65606 ACY65606 AMU65606 AWQ65606 BGM65606 BQI65606 CAE65606 CKA65606 CTW65606 DDS65606 DNO65606 DXK65606 EHG65606 ERC65606 FAY65606 FKU65606 FUQ65606 GEM65606 GOI65606 GYE65606 HIA65606 HRW65606 IBS65606 ILO65606 IVK65606 JFG65606 JPC65606 JYY65606 KIU65606 KSQ65606 LCM65606 LMI65606 LWE65606 MGA65606 MPW65606 MZS65606 NJO65606 NTK65606 ODG65606 ONC65606 OWY65606 PGU65606 PQQ65606 QAM65606 QKI65606 QUE65606 REA65606 RNW65606 RXS65606 SHO65606 SRK65606 TBG65606 TLC65606 TUY65606 UEU65606 UOQ65606 UYM65606 VII65606 VSE65606 WCA65606 WLW65606 WVS65606 C131116 JG131142 TC131142 ACY131142 AMU131142 AWQ131142 BGM131142 BQI131142 CAE131142 CKA131142 CTW131142 DDS131142 DNO131142 DXK131142 EHG131142 ERC131142 FAY131142 FKU131142 FUQ131142 GEM131142 GOI131142 GYE131142 HIA131142 HRW131142 IBS131142 ILO131142 IVK131142 JFG131142 JPC131142 JYY131142 KIU131142 KSQ131142 LCM131142 LMI131142 LWE131142 MGA131142 MPW131142 MZS131142 NJO131142 NTK131142 ODG131142 ONC131142 OWY131142 PGU131142 PQQ131142 QAM131142 QKI131142 QUE131142 REA131142 RNW131142 RXS131142 SHO131142 SRK131142 TBG131142 TLC131142 TUY131142 UEU131142 UOQ131142 UYM131142 VII131142 VSE131142 WCA131142 WLW131142 WVS131142 C196652 JG196678 TC196678 ACY196678 AMU196678 AWQ196678 BGM196678 BQI196678 CAE196678 CKA196678 CTW196678 DDS196678 DNO196678 DXK196678 EHG196678 ERC196678 FAY196678 FKU196678 FUQ196678 GEM196678 GOI196678 GYE196678 HIA196678 HRW196678 IBS196678 ILO196678 IVK196678 JFG196678 JPC196678 JYY196678 KIU196678 KSQ196678 LCM196678 LMI196678 LWE196678 MGA196678 MPW196678 MZS196678 NJO196678 NTK196678 ODG196678 ONC196678 OWY196678 PGU196678 PQQ196678 QAM196678 QKI196678 QUE196678 REA196678 RNW196678 RXS196678 SHO196678 SRK196678 TBG196678 TLC196678 TUY196678 UEU196678 UOQ196678 UYM196678 VII196678 VSE196678 WCA196678 WLW196678 WVS196678 C262188 JG262214 TC262214 ACY262214 AMU262214 AWQ262214 BGM262214 BQI262214 CAE262214 CKA262214 CTW262214 DDS262214 DNO262214 DXK262214 EHG262214 ERC262214 FAY262214 FKU262214 FUQ262214 GEM262214 GOI262214 GYE262214 HIA262214 HRW262214 IBS262214 ILO262214 IVK262214 JFG262214 JPC262214 JYY262214 KIU262214 KSQ262214 LCM262214 LMI262214 LWE262214 MGA262214 MPW262214 MZS262214 NJO262214 NTK262214 ODG262214 ONC262214 OWY262214 PGU262214 PQQ262214 QAM262214 QKI262214 QUE262214 REA262214 RNW262214 RXS262214 SHO262214 SRK262214 TBG262214 TLC262214 TUY262214 UEU262214 UOQ262214 UYM262214 VII262214 VSE262214 WCA262214 WLW262214 WVS262214 C327724 JG327750 TC327750 ACY327750 AMU327750 AWQ327750 BGM327750 BQI327750 CAE327750 CKA327750 CTW327750 DDS327750 DNO327750 DXK327750 EHG327750 ERC327750 FAY327750 FKU327750 FUQ327750 GEM327750 GOI327750 GYE327750 HIA327750 HRW327750 IBS327750 ILO327750 IVK327750 JFG327750 JPC327750 JYY327750 KIU327750 KSQ327750 LCM327750 LMI327750 LWE327750 MGA327750 MPW327750 MZS327750 NJO327750 NTK327750 ODG327750 ONC327750 OWY327750 PGU327750 PQQ327750 QAM327750 QKI327750 QUE327750 REA327750 RNW327750 RXS327750 SHO327750 SRK327750 TBG327750 TLC327750 TUY327750 UEU327750 UOQ327750 UYM327750 VII327750 VSE327750 WCA327750 WLW327750 WVS327750 C393260 JG393286 TC393286 ACY393286 AMU393286 AWQ393286 BGM393286 BQI393286 CAE393286 CKA393286 CTW393286 DDS393286 DNO393286 DXK393286 EHG393286 ERC393286 FAY393286 FKU393286 FUQ393286 GEM393286 GOI393286 GYE393286 HIA393286 HRW393286 IBS393286 ILO393286 IVK393286 JFG393286 JPC393286 JYY393286 KIU393286 KSQ393286 LCM393286 LMI393286 LWE393286 MGA393286 MPW393286 MZS393286 NJO393286 NTK393286 ODG393286 ONC393286 OWY393286 PGU393286 PQQ393286 QAM393286 QKI393286 QUE393286 REA393286 RNW393286 RXS393286 SHO393286 SRK393286 TBG393286 TLC393286 TUY393286 UEU393286 UOQ393286 UYM393286 VII393286 VSE393286 WCA393286 WLW393286 WVS393286 C458796 JG458822 TC458822 ACY458822 AMU458822 AWQ458822 BGM458822 BQI458822 CAE458822 CKA458822 CTW458822 DDS458822 DNO458822 DXK458822 EHG458822 ERC458822 FAY458822 FKU458822 FUQ458822 GEM458822 GOI458822 GYE458822 HIA458822 HRW458822 IBS458822 ILO458822 IVK458822 JFG458822 JPC458822 JYY458822 KIU458822 KSQ458822 LCM458822 LMI458822 LWE458822 MGA458822 MPW458822 MZS458822 NJO458822 NTK458822 ODG458822 ONC458822 OWY458822 PGU458822 PQQ458822 QAM458822 QKI458822 QUE458822 REA458822 RNW458822 RXS458822 SHO458822 SRK458822 TBG458822 TLC458822 TUY458822 UEU458822 UOQ458822 UYM458822 VII458822 VSE458822 WCA458822 WLW458822 WVS458822 C524332 JG524358 TC524358 ACY524358 AMU524358 AWQ524358 BGM524358 BQI524358 CAE524358 CKA524358 CTW524358 DDS524358 DNO524358 DXK524358 EHG524358 ERC524358 FAY524358 FKU524358 FUQ524358 GEM524358 GOI524358 GYE524358 HIA524358 HRW524358 IBS524358 ILO524358 IVK524358 JFG524358 JPC524358 JYY524358 KIU524358 KSQ524358 LCM524358 LMI524358 LWE524358 MGA524358 MPW524358 MZS524358 NJO524358 NTK524358 ODG524358 ONC524358 OWY524358 PGU524358 PQQ524358 QAM524358 QKI524358 QUE524358 REA524358 RNW524358 RXS524358 SHO524358 SRK524358 TBG524358 TLC524358 TUY524358 UEU524358 UOQ524358 UYM524358 VII524358 VSE524358 WCA524358 WLW524358 WVS524358 C589868 JG589894 TC589894 ACY589894 AMU589894 AWQ589894 BGM589894 BQI589894 CAE589894 CKA589894 CTW589894 DDS589894 DNO589894 DXK589894 EHG589894 ERC589894 FAY589894 FKU589894 FUQ589894 GEM589894 GOI589894 GYE589894 HIA589894 HRW589894 IBS589894 ILO589894 IVK589894 JFG589894 JPC589894 JYY589894 KIU589894 KSQ589894 LCM589894 LMI589894 LWE589894 MGA589894 MPW589894 MZS589894 NJO589894 NTK589894 ODG589894 ONC589894 OWY589894 PGU589894 PQQ589894 QAM589894 QKI589894 QUE589894 REA589894 RNW589894 RXS589894 SHO589894 SRK589894 TBG589894 TLC589894 TUY589894 UEU589894 UOQ589894 UYM589894 VII589894 VSE589894 WCA589894 WLW589894 WVS589894 C655404 JG655430 TC655430 ACY655430 AMU655430 AWQ655430 BGM655430 BQI655430 CAE655430 CKA655430 CTW655430 DDS655430 DNO655430 DXK655430 EHG655430 ERC655430 FAY655430 FKU655430 FUQ655430 GEM655430 GOI655430 GYE655430 HIA655430 HRW655430 IBS655430 ILO655430 IVK655430 JFG655430 JPC655430 JYY655430 KIU655430 KSQ655430 LCM655430 LMI655430 LWE655430 MGA655430 MPW655430 MZS655430 NJO655430 NTK655430 ODG655430 ONC655430 OWY655430 PGU655430 PQQ655430 QAM655430 QKI655430 QUE655430 REA655430 RNW655430 RXS655430 SHO655430 SRK655430 TBG655430 TLC655430 TUY655430 UEU655430 UOQ655430 UYM655430 VII655430 VSE655430 WCA655430 WLW655430 WVS655430 C720940 JG720966 TC720966 ACY720966 AMU720966 AWQ720966 BGM720966 BQI720966 CAE720966 CKA720966 CTW720966 DDS720966 DNO720966 DXK720966 EHG720966 ERC720966 FAY720966 FKU720966 FUQ720966 GEM720966 GOI720966 GYE720966 HIA720966 HRW720966 IBS720966 ILO720966 IVK720966 JFG720966 JPC720966 JYY720966 KIU720966 KSQ720966 LCM720966 LMI720966 LWE720966 MGA720966 MPW720966 MZS720966 NJO720966 NTK720966 ODG720966 ONC720966 OWY720966 PGU720966 PQQ720966 QAM720966 QKI720966 QUE720966 REA720966 RNW720966 RXS720966 SHO720966 SRK720966 TBG720966 TLC720966 TUY720966 UEU720966 UOQ720966 UYM720966 VII720966 VSE720966 WCA720966 WLW720966 WVS720966 C786476 JG786502 TC786502 ACY786502 AMU786502 AWQ786502 BGM786502 BQI786502 CAE786502 CKA786502 CTW786502 DDS786502 DNO786502 DXK786502 EHG786502 ERC786502 FAY786502 FKU786502 FUQ786502 GEM786502 GOI786502 GYE786502 HIA786502 HRW786502 IBS786502 ILO786502 IVK786502 JFG786502 JPC786502 JYY786502 KIU786502 KSQ786502 LCM786502 LMI786502 LWE786502 MGA786502 MPW786502 MZS786502 NJO786502 NTK786502 ODG786502 ONC786502 OWY786502 PGU786502 PQQ786502 QAM786502 QKI786502 QUE786502 REA786502 RNW786502 RXS786502 SHO786502 SRK786502 TBG786502 TLC786502 TUY786502 UEU786502 UOQ786502 UYM786502 VII786502 VSE786502 WCA786502 WLW786502 WVS786502 C852012 JG852038 TC852038 ACY852038 AMU852038 AWQ852038 BGM852038 BQI852038 CAE852038 CKA852038 CTW852038 DDS852038 DNO852038 DXK852038 EHG852038 ERC852038 FAY852038 FKU852038 FUQ852038 GEM852038 GOI852038 GYE852038 HIA852038 HRW852038 IBS852038 ILO852038 IVK852038 JFG852038 JPC852038 JYY852038 KIU852038 KSQ852038 LCM852038 LMI852038 LWE852038 MGA852038 MPW852038 MZS852038 NJO852038 NTK852038 ODG852038 ONC852038 OWY852038 PGU852038 PQQ852038 QAM852038 QKI852038 QUE852038 REA852038 RNW852038 RXS852038 SHO852038 SRK852038 TBG852038 TLC852038 TUY852038 UEU852038 UOQ852038 UYM852038 VII852038 VSE852038 WCA852038 WLW852038 WVS852038 C917548 JG917574 TC917574 ACY917574 AMU917574 AWQ917574 BGM917574 BQI917574 CAE917574 CKA917574 CTW917574 DDS917574 DNO917574 DXK917574 EHG917574 ERC917574 FAY917574 FKU917574 FUQ917574 GEM917574 GOI917574 GYE917574 HIA917574 HRW917574 IBS917574 ILO917574 IVK917574 JFG917574 JPC917574 JYY917574 KIU917574 KSQ917574 LCM917574 LMI917574 LWE917574 MGA917574 MPW917574 MZS917574 NJO917574 NTK917574 ODG917574 ONC917574 OWY917574 PGU917574 PQQ917574 QAM917574 QKI917574 QUE917574 REA917574 RNW917574 RXS917574 SHO917574 SRK917574 TBG917574 TLC917574 TUY917574 UEU917574 UOQ917574 UYM917574 VII917574 VSE917574 WCA917574 WLW917574 WVS917574 C983084 JG983110 TC983110 ACY983110 AMU983110 AWQ983110 BGM983110 BQI983110 CAE983110 CKA983110 CTW983110 DDS983110 DNO983110 DXK983110 EHG983110 ERC983110 FAY983110 FKU983110 FUQ983110 GEM983110 GOI983110 GYE983110 HIA983110 HRW983110 IBS983110 ILO983110 IVK983110 JFG983110 JPC983110 JYY983110 KIU983110 KSQ983110 LCM983110 LMI983110 LWE983110 MGA983110 MPW983110 MZS983110 NJO983110 NTK983110 ODG983110 ONC983110 OWY983110 PGU983110 PQQ983110 QAM983110 QKI983110 QUE983110 REA983110 RNW983110 RXS983110 SHO983110 SRK983110 TBG983110 TLC983110 TUY983110 UEU983110 UOQ983110 UYM983110 VII983110 VSE983110 WCA983110 WLW983110 C18">
      <formula1>"Base, Step 1"</formula1>
    </dataValidation>
    <dataValidation type="list" allowBlank="1" showInputMessage="1" showErrorMessage="1" sqref="WVS983029 C65499 JG65525 TC65525 ACY65525 AMU65525 AWQ65525 BGM65525 BQI65525 CAE65525 CKA65525 CTW65525 DDS65525 DNO65525 DXK65525 EHG65525 ERC65525 FAY65525 FKU65525 FUQ65525 GEM65525 GOI65525 GYE65525 HIA65525 HRW65525 IBS65525 ILO65525 IVK65525 JFG65525 JPC65525 JYY65525 KIU65525 KSQ65525 LCM65525 LMI65525 LWE65525 MGA65525 MPW65525 MZS65525 NJO65525 NTK65525 ODG65525 ONC65525 OWY65525 PGU65525 PQQ65525 QAM65525 QKI65525 QUE65525 REA65525 RNW65525 RXS65525 SHO65525 SRK65525 TBG65525 TLC65525 TUY65525 UEU65525 UOQ65525 UYM65525 VII65525 VSE65525 WCA65525 WLW65525 WVS65525 C131035 JG131061 TC131061 ACY131061 AMU131061 AWQ131061 BGM131061 BQI131061 CAE131061 CKA131061 CTW131061 DDS131061 DNO131061 DXK131061 EHG131061 ERC131061 FAY131061 FKU131061 FUQ131061 GEM131061 GOI131061 GYE131061 HIA131061 HRW131061 IBS131061 ILO131061 IVK131061 JFG131061 JPC131061 JYY131061 KIU131061 KSQ131061 LCM131061 LMI131061 LWE131061 MGA131061 MPW131061 MZS131061 NJO131061 NTK131061 ODG131061 ONC131061 OWY131061 PGU131061 PQQ131061 QAM131061 QKI131061 QUE131061 REA131061 RNW131061 RXS131061 SHO131061 SRK131061 TBG131061 TLC131061 TUY131061 UEU131061 UOQ131061 UYM131061 VII131061 VSE131061 WCA131061 WLW131061 WVS131061 C196571 JG196597 TC196597 ACY196597 AMU196597 AWQ196597 BGM196597 BQI196597 CAE196597 CKA196597 CTW196597 DDS196597 DNO196597 DXK196597 EHG196597 ERC196597 FAY196597 FKU196597 FUQ196597 GEM196597 GOI196597 GYE196597 HIA196597 HRW196597 IBS196597 ILO196597 IVK196597 JFG196597 JPC196597 JYY196597 KIU196597 KSQ196597 LCM196597 LMI196597 LWE196597 MGA196597 MPW196597 MZS196597 NJO196597 NTK196597 ODG196597 ONC196597 OWY196597 PGU196597 PQQ196597 QAM196597 QKI196597 QUE196597 REA196597 RNW196597 RXS196597 SHO196597 SRK196597 TBG196597 TLC196597 TUY196597 UEU196597 UOQ196597 UYM196597 VII196597 VSE196597 WCA196597 WLW196597 WVS196597 C262107 JG262133 TC262133 ACY262133 AMU262133 AWQ262133 BGM262133 BQI262133 CAE262133 CKA262133 CTW262133 DDS262133 DNO262133 DXK262133 EHG262133 ERC262133 FAY262133 FKU262133 FUQ262133 GEM262133 GOI262133 GYE262133 HIA262133 HRW262133 IBS262133 ILO262133 IVK262133 JFG262133 JPC262133 JYY262133 KIU262133 KSQ262133 LCM262133 LMI262133 LWE262133 MGA262133 MPW262133 MZS262133 NJO262133 NTK262133 ODG262133 ONC262133 OWY262133 PGU262133 PQQ262133 QAM262133 QKI262133 QUE262133 REA262133 RNW262133 RXS262133 SHO262133 SRK262133 TBG262133 TLC262133 TUY262133 UEU262133 UOQ262133 UYM262133 VII262133 VSE262133 WCA262133 WLW262133 WVS262133 C327643 JG327669 TC327669 ACY327669 AMU327669 AWQ327669 BGM327669 BQI327669 CAE327669 CKA327669 CTW327669 DDS327669 DNO327669 DXK327669 EHG327669 ERC327669 FAY327669 FKU327669 FUQ327669 GEM327669 GOI327669 GYE327669 HIA327669 HRW327669 IBS327669 ILO327669 IVK327669 JFG327669 JPC327669 JYY327669 KIU327669 KSQ327669 LCM327669 LMI327669 LWE327669 MGA327669 MPW327669 MZS327669 NJO327669 NTK327669 ODG327669 ONC327669 OWY327669 PGU327669 PQQ327669 QAM327669 QKI327669 QUE327669 REA327669 RNW327669 RXS327669 SHO327669 SRK327669 TBG327669 TLC327669 TUY327669 UEU327669 UOQ327669 UYM327669 VII327669 VSE327669 WCA327669 WLW327669 WVS327669 C393179 JG393205 TC393205 ACY393205 AMU393205 AWQ393205 BGM393205 BQI393205 CAE393205 CKA393205 CTW393205 DDS393205 DNO393205 DXK393205 EHG393205 ERC393205 FAY393205 FKU393205 FUQ393205 GEM393205 GOI393205 GYE393205 HIA393205 HRW393205 IBS393205 ILO393205 IVK393205 JFG393205 JPC393205 JYY393205 KIU393205 KSQ393205 LCM393205 LMI393205 LWE393205 MGA393205 MPW393205 MZS393205 NJO393205 NTK393205 ODG393205 ONC393205 OWY393205 PGU393205 PQQ393205 QAM393205 QKI393205 QUE393205 REA393205 RNW393205 RXS393205 SHO393205 SRK393205 TBG393205 TLC393205 TUY393205 UEU393205 UOQ393205 UYM393205 VII393205 VSE393205 WCA393205 WLW393205 WVS393205 C458715 JG458741 TC458741 ACY458741 AMU458741 AWQ458741 BGM458741 BQI458741 CAE458741 CKA458741 CTW458741 DDS458741 DNO458741 DXK458741 EHG458741 ERC458741 FAY458741 FKU458741 FUQ458741 GEM458741 GOI458741 GYE458741 HIA458741 HRW458741 IBS458741 ILO458741 IVK458741 JFG458741 JPC458741 JYY458741 KIU458741 KSQ458741 LCM458741 LMI458741 LWE458741 MGA458741 MPW458741 MZS458741 NJO458741 NTK458741 ODG458741 ONC458741 OWY458741 PGU458741 PQQ458741 QAM458741 QKI458741 QUE458741 REA458741 RNW458741 RXS458741 SHO458741 SRK458741 TBG458741 TLC458741 TUY458741 UEU458741 UOQ458741 UYM458741 VII458741 VSE458741 WCA458741 WLW458741 WVS458741 C524251 JG524277 TC524277 ACY524277 AMU524277 AWQ524277 BGM524277 BQI524277 CAE524277 CKA524277 CTW524277 DDS524277 DNO524277 DXK524277 EHG524277 ERC524277 FAY524277 FKU524277 FUQ524277 GEM524277 GOI524277 GYE524277 HIA524277 HRW524277 IBS524277 ILO524277 IVK524277 JFG524277 JPC524277 JYY524277 KIU524277 KSQ524277 LCM524277 LMI524277 LWE524277 MGA524277 MPW524277 MZS524277 NJO524277 NTK524277 ODG524277 ONC524277 OWY524277 PGU524277 PQQ524277 QAM524277 QKI524277 QUE524277 REA524277 RNW524277 RXS524277 SHO524277 SRK524277 TBG524277 TLC524277 TUY524277 UEU524277 UOQ524277 UYM524277 VII524277 VSE524277 WCA524277 WLW524277 WVS524277 C589787 JG589813 TC589813 ACY589813 AMU589813 AWQ589813 BGM589813 BQI589813 CAE589813 CKA589813 CTW589813 DDS589813 DNO589813 DXK589813 EHG589813 ERC589813 FAY589813 FKU589813 FUQ589813 GEM589813 GOI589813 GYE589813 HIA589813 HRW589813 IBS589813 ILO589813 IVK589813 JFG589813 JPC589813 JYY589813 KIU589813 KSQ589813 LCM589813 LMI589813 LWE589813 MGA589813 MPW589813 MZS589813 NJO589813 NTK589813 ODG589813 ONC589813 OWY589813 PGU589813 PQQ589813 QAM589813 QKI589813 QUE589813 REA589813 RNW589813 RXS589813 SHO589813 SRK589813 TBG589813 TLC589813 TUY589813 UEU589813 UOQ589813 UYM589813 VII589813 VSE589813 WCA589813 WLW589813 WVS589813 C655323 JG655349 TC655349 ACY655349 AMU655349 AWQ655349 BGM655349 BQI655349 CAE655349 CKA655349 CTW655349 DDS655349 DNO655349 DXK655349 EHG655349 ERC655349 FAY655349 FKU655349 FUQ655349 GEM655349 GOI655349 GYE655349 HIA655349 HRW655349 IBS655349 ILO655349 IVK655349 JFG655349 JPC655349 JYY655349 KIU655349 KSQ655349 LCM655349 LMI655349 LWE655349 MGA655349 MPW655349 MZS655349 NJO655349 NTK655349 ODG655349 ONC655349 OWY655349 PGU655349 PQQ655349 QAM655349 QKI655349 QUE655349 REA655349 RNW655349 RXS655349 SHO655349 SRK655349 TBG655349 TLC655349 TUY655349 UEU655349 UOQ655349 UYM655349 VII655349 VSE655349 WCA655349 WLW655349 WVS655349 C720859 JG720885 TC720885 ACY720885 AMU720885 AWQ720885 BGM720885 BQI720885 CAE720885 CKA720885 CTW720885 DDS720885 DNO720885 DXK720885 EHG720885 ERC720885 FAY720885 FKU720885 FUQ720885 GEM720885 GOI720885 GYE720885 HIA720885 HRW720885 IBS720885 ILO720885 IVK720885 JFG720885 JPC720885 JYY720885 KIU720885 KSQ720885 LCM720885 LMI720885 LWE720885 MGA720885 MPW720885 MZS720885 NJO720885 NTK720885 ODG720885 ONC720885 OWY720885 PGU720885 PQQ720885 QAM720885 QKI720885 QUE720885 REA720885 RNW720885 RXS720885 SHO720885 SRK720885 TBG720885 TLC720885 TUY720885 UEU720885 UOQ720885 UYM720885 VII720885 VSE720885 WCA720885 WLW720885 WVS720885 C786395 JG786421 TC786421 ACY786421 AMU786421 AWQ786421 BGM786421 BQI786421 CAE786421 CKA786421 CTW786421 DDS786421 DNO786421 DXK786421 EHG786421 ERC786421 FAY786421 FKU786421 FUQ786421 GEM786421 GOI786421 GYE786421 HIA786421 HRW786421 IBS786421 ILO786421 IVK786421 JFG786421 JPC786421 JYY786421 KIU786421 KSQ786421 LCM786421 LMI786421 LWE786421 MGA786421 MPW786421 MZS786421 NJO786421 NTK786421 ODG786421 ONC786421 OWY786421 PGU786421 PQQ786421 QAM786421 QKI786421 QUE786421 REA786421 RNW786421 RXS786421 SHO786421 SRK786421 TBG786421 TLC786421 TUY786421 UEU786421 UOQ786421 UYM786421 VII786421 VSE786421 WCA786421 WLW786421 WVS786421 C851931 JG851957 TC851957 ACY851957 AMU851957 AWQ851957 BGM851957 BQI851957 CAE851957 CKA851957 CTW851957 DDS851957 DNO851957 DXK851957 EHG851957 ERC851957 FAY851957 FKU851957 FUQ851957 GEM851957 GOI851957 GYE851957 HIA851957 HRW851957 IBS851957 ILO851957 IVK851957 JFG851957 JPC851957 JYY851957 KIU851957 KSQ851957 LCM851957 LMI851957 LWE851957 MGA851957 MPW851957 MZS851957 NJO851957 NTK851957 ODG851957 ONC851957 OWY851957 PGU851957 PQQ851957 QAM851957 QKI851957 QUE851957 REA851957 RNW851957 RXS851957 SHO851957 SRK851957 TBG851957 TLC851957 TUY851957 UEU851957 UOQ851957 UYM851957 VII851957 VSE851957 WCA851957 WLW851957 WVS851957 C917467 JG917493 TC917493 ACY917493 AMU917493 AWQ917493 BGM917493 BQI917493 CAE917493 CKA917493 CTW917493 DDS917493 DNO917493 DXK917493 EHG917493 ERC917493 FAY917493 FKU917493 FUQ917493 GEM917493 GOI917493 GYE917493 HIA917493 HRW917493 IBS917493 ILO917493 IVK917493 JFG917493 JPC917493 JYY917493 KIU917493 KSQ917493 LCM917493 LMI917493 LWE917493 MGA917493 MPW917493 MZS917493 NJO917493 NTK917493 ODG917493 ONC917493 OWY917493 PGU917493 PQQ917493 QAM917493 QKI917493 QUE917493 REA917493 RNW917493 RXS917493 SHO917493 SRK917493 TBG917493 TLC917493 TUY917493 UEU917493 UOQ917493 UYM917493 VII917493 VSE917493 WCA917493 WLW917493 WVS917493 C983003 JG983029 TC983029 ACY983029 AMU983029 AWQ983029 BGM983029 BQI983029 CAE983029 CKA983029 CTW983029 DDS983029 DNO983029 DXK983029 EHG983029 ERC983029 FAY983029 FKU983029 FUQ983029 GEM983029 GOI983029 GYE983029 HIA983029 HRW983029 IBS983029 ILO983029 IVK983029 JFG983029 JPC983029 JYY983029 KIU983029 KSQ983029 LCM983029 LMI983029 LWE983029 MGA983029 MPW983029 MZS983029 NJO983029 NTK983029 ODG983029 ONC983029 OWY983029 PGU983029 PQQ983029 QAM983029 QKI983029 QUE983029 REA983029 RNW983029 RXS983029 SHO983029 SRK983029 TBG983029 TLC983029 TUY983029 UEU983029 UOQ983029 UYM983029 VII983029 VSE983029 WCA983029 WLW983029 C19">
      <formula1>"YES,NO"</formula1>
    </dataValidation>
    <dataValidation type="list" allowBlank="1" showInputMessage="1" showErrorMessage="1" sqref="C4 V14">
      <formula1>"Please Select,Small,Medium,Large,X-Large,Articulated"</formula1>
    </dataValidation>
    <dataValidation type="list" allowBlank="1" showInputMessage="1" showErrorMessage="1" sqref="C17">
      <formula1>"Base, Step 1,Step 2"</formula1>
    </dataValidation>
    <dataValidation type="list" showInputMessage="1" showErrorMessage="1" sqref="C16">
      <formula1>"Tier 2,FI,KI"</formula1>
    </dataValidation>
    <dataValidation type="whole" operator="lessThanOrEqual" allowBlank="1" showInputMessage="1" showErrorMessage="1" sqref="D2:D7">
      <formula1>D1048566</formula1>
    </dataValidation>
    <dataValidation type="list" operator="lessThanOrEqual" allowBlank="1" showInputMessage="1" showErrorMessage="1" sqref="C21">
      <formula1>"&lt;40Km,&gt;40Km"</formula1>
    </dataValidation>
    <dataValidation type="decimal" errorStyle="information" operator="lessThanOrEqual" allowBlank="1" showInputMessage="1" showErrorMessage="1" errorTitle="Excessive Km" error="The total unloaded kilometres (shuttle vehicle and bus) exceeds 110% of the loaded kilometres.  _x000a_Driver time, wages, and payment of running allowances will be adjusted accordingly." sqref="C14">
      <formula1>(C10*1.1)-C12</formula1>
    </dataValidation>
    <dataValidation type="list" allowBlank="1" showInputMessage="1" showErrorMessage="1" sqref="C9 C6:C7 F3:F8">
      <formula1>"Please Select,NO,YES"</formula1>
    </dataValidation>
    <dataValidation type="list" allowBlank="1" showInputMessage="1" showErrorMessage="1" sqref="N3:N8">
      <formula1>"Please Select,Small,Medium,Large,X-Large,Artic"</formula1>
    </dataValidation>
    <dataValidation type="list" allowBlank="1" showInputMessage="1" showErrorMessage="1" sqref="C5 C8">
      <formula1>"Please Select,1,2,3,4,5,6"</formula1>
    </dataValidation>
    <dataValidation type="list" allowBlank="1" showInputMessage="1" showErrorMessage="1" sqref="C13 O3:O8">
      <formula1>"NO,YES"</formula1>
    </dataValidation>
    <dataValidation type="whole" operator="lessThanOrEqual" allowBlank="1" showInputMessage="1" showErrorMessage="1" sqref="C20">
      <formula1>C5</formula1>
    </dataValidation>
    <dataValidation errorStyle="information" operator="lessThanOrEqual" allowBlank="1" showInputMessage="1" showErrorMessage="1" sqref="C15"/>
    <dataValidation type="decimal" operator="lessThanOrEqual" allowBlank="1" showInputMessage="1" showErrorMessage="1" errorTitle="Excessive Unloaded Kilometres" error="The total unloaded bus kilometres exceeds 110% of the loaded kilometres. Please adjust to no more than 110% of the loaded kilometres. i.e. Loaded Km x 1.1_x000a_" sqref="C12">
      <formula1>(C10*1.1)</formula1>
    </dataValidation>
    <dataValidation type="decimal" errorStyle="warning" operator="greaterThan" allowBlank="1" showInputMessage="1" showErrorMessage="1" errorTitle="Unloaded Kilometres" error="The total unloaded kilometres (shuttle vehicle and bus) exceeds 110% of the loaded kilometres.  _x000a_This simple model does not cater for this scenario and will overestimate driver wages" sqref="C10">
      <formula1>(C12+C14)/1.1</formula1>
    </dataValidation>
    <dataValidation type="decimal" errorStyle="information" operator="lessThan" allowBlank="1" showInputMessage="1" showErrorMessage="1" errorTitle="Low Speed Alert" error="The average travel speed for the loaded trip is less than 35km/hr.  _x000a_The model will assume a miniumum unloaded travel time of 35km/hr for the calculation of Daily Driver Time." sqref="C11">
      <formula1>C10/35*60</formula1>
    </dataValidation>
    <dataValidation type="list" allowBlank="1" showInputMessage="1" showErrorMessage="1" sqref="C2">
      <formula1>"Please Select,School Bus Service,Special Needs Bus Service"</formula1>
    </dataValidation>
    <dataValidation type="list" operator="lessThanOrEqual" allowBlank="1" showInputMessage="1" showErrorMessage="1" error="_x000a_" sqref="T3:T8">
      <formula1>"NO,YES"</formula1>
    </dataValidation>
    <dataValidation type="decimal" operator="lessThanOrEqual" allowBlank="1" showInputMessage="1" showErrorMessage="1" errorTitle="Lift Cost Exceeds Cap" error="The Cap for supply and fitment of a wheelchair lift is $37,329. Please Enter a val;ue that is equal to or less than this amount. _x000a_All claims must be supported by reciepts._x000a_" sqref="U3:U8">
      <formula1>37329</formula1>
    </dataValidation>
    <dataValidation type="list" allowBlank="1" showInputMessage="1" showErrorMessage="1" sqref="S3:S8">
      <formula1>"NO"</formula1>
    </dataValidation>
    <dataValidation type="list" allowBlank="1" showInputMessage="1" showErrorMessage="1" sqref="C3">
      <formula1>"Normal,Novation"</formula1>
    </dataValidation>
    <dataValidation type="list" allowBlank="1" showInputMessage="1" showErrorMessage="1" sqref="G3:G8">
      <formula1>"Please Select,RSB,UFSO/RFP/LDSO,Urban/Town,UFGA"</formula1>
    </dataValidation>
    <dataValidation operator="lessThanOrEqual" allowBlank="1" showInputMessage="1" showErrorMessage="1" errorTitle="Value Not Valid" error="Value &gt; Cap or Size not selected. _x000a_Capped Entry Value =_x000a_- Small $133,718 or $143,718 where 3 for 2 required_x000a_- Medium $104,000 _x000a_- Large $124,000 _x000a_- X-Large $141,000 _x000a_- Artic $161,400_x000a_- Transition Vehicles $200,000" sqref="R3:R8"/>
    <dataValidation type="whole" operator="lessThanOrEqual" allowBlank="1" showInputMessage="1" showErrorMessage="1" errorTitle="Value Entered Above Cap" error="Value entered is not valid_x000a_Allowance is not available for Small or Transition vehicles and is capped at $20,000 for all other  vehicles. Claims for Additional Refurbishment must be supported by invoices from a 3rd Party  " sqref="V3:V8">
      <formula1>IF(OR(F3="Yes",N3="Small"),0,20000)</formula1>
    </dataValidation>
    <dataValidation type="decimal" operator="lessThanOrEqual" allowBlank="1" showInputMessage="1" showErrorMessage="1" sqref="H3:H8">
      <formula1>35000</formula1>
    </dataValidation>
    <dataValidation type="list" operator="lessThanOrEqual" allowBlank="1" showInputMessage="1" showErrorMessage="1" sqref="I3:I8">
      <formula1>" ,1,2,3,4,5,6,7,8,9,10,11,12"</formula1>
    </dataValidation>
    <dataValidation operator="lessThanOrEqual" allowBlank="1" showInputMessage="1" showErrorMessage="1" errorTitle="Value Not Valid" error="Value is greater than the Cap or Size not selected. _x000a_Check the maximum cap for the size &amp; age of the vehicle on the Maximum Capital Rates-School tab or select the size for the vehicle." sqref="Q3:Q8"/>
    <dataValidation type="whole" operator="lessThanOrEqual" allowBlank="1" showInputMessage="1" showErrorMessage="1" errorTitle="Incorrect Year Entered" error="The Year of Manufacture entered is less than the Year of Purchase._x000a__x000a_Please review and correct " sqref="L3:L8">
      <formula1>J3</formula1>
    </dataValidation>
    <dataValidation type="whole" operator="greaterThanOrEqual" allowBlank="1" showInputMessage="1" showErrorMessage="1" sqref="J3:J8">
      <formula1>L3</formula1>
    </dataValidation>
    <dataValidation type="whole" operator="greaterThanOrEqual" allowBlank="1" showInputMessage="1" showErrorMessage="1" errorTitle="Value Not Valid" error="Value is greater than the Cap or Size not selected. _x000a_Check the maximum cap for the size &amp; age of the vehicle on the Maximum Capital Rates-School tab or select the size for the vehicle." sqref="P3:P8">
      <formula1>0</formula1>
    </dataValidation>
    <dataValidation operator="greaterThanOrEqual" allowBlank="1" showInputMessage="1" showErrorMessage="1" sqref="K3:K8"/>
  </dataValidations>
  <pageMargins left="0.7" right="0.7" top="0.75" bottom="0.75" header="0.3" footer="0.3"/>
  <pageSetup paperSize="9" scale="49" orientation="landscape" r:id="rId1"/>
  <customProperties>
    <customPr name="SSC_SHEET_GUID" r:id="rId2"/>
  </customProperties>
  <ignoredErrors>
    <ignoredError sqref="Y3:Y8 Z3:Z8" evalError="1"/>
  </ignoredError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84"/>
  <sheetViews>
    <sheetView workbookViewId="0">
      <selection activeCell="B1" sqref="B1"/>
    </sheetView>
  </sheetViews>
  <sheetFormatPr defaultColWidth="8.81640625" defaultRowHeight="15.5" x14ac:dyDescent="0.35"/>
  <cols>
    <col min="1" max="1" width="30.7265625" style="51" customWidth="1"/>
    <col min="2" max="2" width="13.26953125" style="51" customWidth="1"/>
    <col min="3" max="3" width="15.453125" style="51" customWidth="1"/>
    <col min="4" max="4" width="14.453125" style="51" customWidth="1"/>
    <col min="5" max="6" width="16.26953125" style="51" customWidth="1"/>
    <col min="7" max="7" width="12.453125" style="51" customWidth="1"/>
    <col min="8" max="8" width="15.81640625" style="51" customWidth="1"/>
    <col min="9" max="9" width="12.7265625" style="51" hidden="1" customWidth="1"/>
    <col min="10" max="10" width="16.54296875" style="52" hidden="1" customWidth="1"/>
    <col min="11" max="11" width="14" style="52" customWidth="1"/>
    <col min="12" max="12" width="10.453125" style="52" customWidth="1"/>
    <col min="13" max="13" width="15" style="51" customWidth="1"/>
    <col min="14" max="14" width="13.1796875" style="51" customWidth="1"/>
    <col min="15" max="15" width="12" style="51" customWidth="1"/>
    <col min="16" max="16" width="17.54296875" style="51" customWidth="1"/>
    <col min="17" max="17" width="12" style="51" customWidth="1"/>
    <col min="18" max="18" width="8.81640625" style="51" customWidth="1"/>
    <col min="19" max="19" width="12.7265625" style="51" customWidth="1"/>
    <col min="20" max="20" width="12.54296875" style="51" customWidth="1"/>
    <col min="21" max="21" width="8.453125" style="51" customWidth="1"/>
    <col min="22" max="22" width="12.7265625" style="51" customWidth="1"/>
    <col min="23" max="23" width="14" style="51" customWidth="1"/>
    <col min="24" max="24" width="15.26953125" style="51" customWidth="1"/>
    <col min="25" max="25" width="12.7265625" style="51" customWidth="1"/>
    <col min="26" max="16384" width="8.81640625" style="51"/>
  </cols>
  <sheetData>
    <row r="1" spans="1:18" ht="15.65" customHeight="1" x14ac:dyDescent="0.35">
      <c r="A1" s="48" t="s">
        <v>64</v>
      </c>
      <c r="B1" s="49"/>
      <c r="C1" s="50"/>
      <c r="D1" s="50"/>
      <c r="E1" s="50"/>
      <c r="F1" s="50"/>
      <c r="G1" s="50"/>
    </row>
    <row r="2" spans="1:18" ht="15.65" customHeight="1" x14ac:dyDescent="0.35">
      <c r="A2" s="53"/>
      <c r="B2" s="54" t="s">
        <v>105</v>
      </c>
      <c r="C2" s="55" t="s">
        <v>106</v>
      </c>
      <c r="D2" s="55" t="s">
        <v>91</v>
      </c>
      <c r="E2" s="56" t="s">
        <v>107</v>
      </c>
      <c r="F2" s="56" t="s">
        <v>108</v>
      </c>
      <c r="G2" s="165"/>
      <c r="J2" s="127"/>
    </row>
    <row r="3" spans="1:18" ht="15.65" customHeight="1" x14ac:dyDescent="0.35">
      <c r="A3" s="57" t="s">
        <v>65</v>
      </c>
      <c r="B3" s="58">
        <v>0</v>
      </c>
      <c r="C3" s="58">
        <v>10</v>
      </c>
      <c r="D3" s="58">
        <v>10</v>
      </c>
      <c r="E3" s="58">
        <v>10</v>
      </c>
      <c r="F3" s="58">
        <v>10</v>
      </c>
      <c r="G3" s="41"/>
      <c r="H3" s="59"/>
      <c r="I3" s="59"/>
      <c r="J3" s="59"/>
      <c r="K3" s="59"/>
      <c r="L3" s="60"/>
    </row>
    <row r="4" spans="1:18" ht="15.65" customHeight="1" x14ac:dyDescent="0.35">
      <c r="A4" s="57" t="s">
        <v>66</v>
      </c>
      <c r="B4" s="58">
        <v>10</v>
      </c>
      <c r="C4" s="58">
        <v>20</v>
      </c>
      <c r="D4" s="58">
        <v>20</v>
      </c>
      <c r="E4" s="58">
        <v>20</v>
      </c>
      <c r="F4" s="58">
        <v>25</v>
      </c>
      <c r="G4" s="41"/>
      <c r="M4" s="123"/>
      <c r="O4" s="59"/>
      <c r="P4" s="59"/>
    </row>
    <row r="5" spans="1:18" ht="15.65" customHeight="1" x14ac:dyDescent="0.35">
      <c r="A5" s="57" t="s">
        <v>67</v>
      </c>
      <c r="B5" s="58">
        <v>10</v>
      </c>
      <c r="C5" s="58">
        <v>25</v>
      </c>
      <c r="D5" s="58">
        <v>25</v>
      </c>
      <c r="E5" s="58">
        <v>25</v>
      </c>
      <c r="F5" s="58">
        <v>25</v>
      </c>
      <c r="G5" s="41"/>
      <c r="M5" s="52"/>
      <c r="N5" s="61"/>
      <c r="O5" s="61"/>
      <c r="P5" s="61"/>
    </row>
    <row r="6" spans="1:18" ht="15.65" customHeight="1" x14ac:dyDescent="0.35">
      <c r="A6" s="62" t="s">
        <v>68</v>
      </c>
      <c r="B6" s="63">
        <v>140718</v>
      </c>
      <c r="C6" s="63">
        <v>104000</v>
      </c>
      <c r="D6" s="63">
        <v>124000</v>
      </c>
      <c r="E6" s="63">
        <v>141000</v>
      </c>
      <c r="F6" s="63">
        <v>161400</v>
      </c>
      <c r="G6" s="166"/>
      <c r="H6" s="52"/>
      <c r="I6" s="127"/>
      <c r="K6" s="127"/>
      <c r="M6" s="52"/>
      <c r="N6" s="61"/>
      <c r="O6" s="61"/>
      <c r="P6" s="61"/>
      <c r="R6" s="61"/>
    </row>
    <row r="7" spans="1:18" ht="15.65" customHeight="1" x14ac:dyDescent="0.35">
      <c r="A7" s="64" t="s">
        <v>69</v>
      </c>
      <c r="B7" s="63">
        <v>1545</v>
      </c>
      <c r="C7" s="63">
        <v>30000</v>
      </c>
      <c r="D7" s="63">
        <v>30000</v>
      </c>
      <c r="E7" s="63">
        <v>30000</v>
      </c>
      <c r="F7" s="63">
        <v>35000</v>
      </c>
      <c r="G7" s="166"/>
      <c r="H7" s="52"/>
      <c r="I7" s="52"/>
      <c r="N7" s="61"/>
      <c r="O7" s="61"/>
      <c r="P7" s="61"/>
      <c r="R7" s="61"/>
    </row>
    <row r="8" spans="1:18" ht="15.65" customHeight="1" x14ac:dyDescent="0.35">
      <c r="A8" s="57" t="s">
        <v>70</v>
      </c>
      <c r="B8" s="63">
        <f>B6+B7</f>
        <v>142263</v>
      </c>
      <c r="C8" s="63">
        <f>C6+C7</f>
        <v>134000</v>
      </c>
      <c r="D8" s="63">
        <f>D6+D7</f>
        <v>154000</v>
      </c>
      <c r="E8" s="63">
        <f>E6+E7</f>
        <v>171000</v>
      </c>
      <c r="F8" s="63">
        <f>F6+F7</f>
        <v>196400</v>
      </c>
      <c r="G8" s="166"/>
      <c r="H8" s="52"/>
      <c r="I8" s="52"/>
      <c r="M8" s="52"/>
      <c r="N8" s="61"/>
      <c r="O8" s="61"/>
      <c r="P8" s="61"/>
      <c r="R8" s="61"/>
    </row>
    <row r="9" spans="1:18" ht="15.65" customHeight="1" x14ac:dyDescent="0.35">
      <c r="A9" s="57" t="s">
        <v>71</v>
      </c>
      <c r="B9" s="63">
        <v>28000</v>
      </c>
      <c r="C9" s="63">
        <v>3000</v>
      </c>
      <c r="D9" s="63">
        <v>3000</v>
      </c>
      <c r="E9" s="63">
        <v>3000</v>
      </c>
      <c r="F9" s="63">
        <v>10000</v>
      </c>
      <c r="G9" s="166"/>
      <c r="H9" s="52"/>
      <c r="I9" s="52"/>
      <c r="L9" s="128"/>
      <c r="M9" s="65"/>
      <c r="N9" s="61"/>
      <c r="O9" s="61"/>
      <c r="P9" s="61"/>
    </row>
    <row r="10" spans="1:18" ht="15.65" customHeight="1" x14ac:dyDescent="0.35">
      <c r="A10" s="57" t="s">
        <v>72</v>
      </c>
      <c r="B10" s="178">
        <f>(B8-B9)/(B5-B3)</f>
        <v>11426.3</v>
      </c>
      <c r="C10" s="178">
        <f>(C8-C9)/(C5-C3)</f>
        <v>8733.3333333333339</v>
      </c>
      <c r="D10" s="178">
        <f>(D8-D9)/(D5-D3)</f>
        <v>10066.666666666666</v>
      </c>
      <c r="E10" s="178">
        <f>(E8-E9)/(E5-E3)</f>
        <v>11200</v>
      </c>
      <c r="F10" s="178">
        <f>(F8-F9)/(F5-F3)</f>
        <v>12426.666666666666</v>
      </c>
      <c r="G10" s="166"/>
      <c r="J10" s="130"/>
      <c r="O10" s="61"/>
      <c r="P10" s="61"/>
    </row>
    <row r="11" spans="1:18" ht="15.65" customHeight="1" x14ac:dyDescent="0.35">
      <c r="A11" s="57" t="s">
        <v>73</v>
      </c>
      <c r="B11" s="66">
        <v>7.8700000000000006E-2</v>
      </c>
      <c r="C11" s="66">
        <f>B11</f>
        <v>7.8700000000000006E-2</v>
      </c>
      <c r="D11" s="66">
        <f t="shared" ref="D11:F11" si="0">C11</f>
        <v>7.8700000000000006E-2</v>
      </c>
      <c r="E11" s="66">
        <f t="shared" si="0"/>
        <v>7.8700000000000006E-2</v>
      </c>
      <c r="F11" s="66">
        <f t="shared" si="0"/>
        <v>7.8700000000000006E-2</v>
      </c>
      <c r="G11" s="167"/>
      <c r="H11" s="67"/>
      <c r="I11" s="67"/>
      <c r="J11" s="129"/>
      <c r="K11" s="67"/>
      <c r="L11" s="67"/>
      <c r="N11" s="61"/>
      <c r="O11" s="61"/>
      <c r="P11" s="61"/>
      <c r="R11" s="61"/>
    </row>
    <row r="12" spans="1:18" ht="15.65" customHeight="1" x14ac:dyDescent="0.35">
      <c r="A12" s="68" t="s">
        <v>74</v>
      </c>
      <c r="B12" s="66">
        <f>B11+1.5%</f>
        <v>9.3700000000000006E-2</v>
      </c>
      <c r="C12" s="66">
        <f t="shared" ref="C12:F12" si="1">C11+1.5%</f>
        <v>9.3700000000000006E-2</v>
      </c>
      <c r="D12" s="66">
        <f t="shared" si="1"/>
        <v>9.3700000000000006E-2</v>
      </c>
      <c r="E12" s="66">
        <f t="shared" si="1"/>
        <v>9.3700000000000006E-2</v>
      </c>
      <c r="F12" s="66">
        <f t="shared" si="1"/>
        <v>9.3700000000000006E-2</v>
      </c>
      <c r="G12" s="167"/>
    </row>
    <row r="13" spans="1:18" ht="15.65" customHeight="1" x14ac:dyDescent="0.35">
      <c r="A13" s="57" t="s">
        <v>75</v>
      </c>
      <c r="B13" s="69">
        <v>1</v>
      </c>
      <c r="C13" s="69">
        <v>0.8</v>
      </c>
      <c r="D13" s="69">
        <v>0.8</v>
      </c>
      <c r="E13" s="69">
        <v>0.8</v>
      </c>
      <c r="F13" s="69">
        <v>0.8</v>
      </c>
      <c r="G13" s="168"/>
    </row>
    <row r="14" spans="1:18" ht="15.65" customHeight="1" x14ac:dyDescent="0.35">
      <c r="A14" s="70" t="s">
        <v>76</v>
      </c>
      <c r="B14" s="71">
        <f>B11*B13+B12*(1-B13)</f>
        <v>7.8700000000000006E-2</v>
      </c>
      <c r="C14" s="71">
        <f>C11*C13+C12*(1-C13)</f>
        <v>8.1699999999999995E-2</v>
      </c>
      <c r="D14" s="71">
        <f t="shared" ref="D14:F14" si="2">D11*D13+D12*(1-D13)</f>
        <v>8.1699999999999995E-2</v>
      </c>
      <c r="E14" s="71">
        <f t="shared" si="2"/>
        <v>8.1699999999999995E-2</v>
      </c>
      <c r="F14" s="71">
        <f t="shared" si="2"/>
        <v>8.1699999999999995E-2</v>
      </c>
      <c r="G14" s="167"/>
    </row>
    <row r="15" spans="1:18" ht="15.65" customHeight="1" x14ac:dyDescent="0.35">
      <c r="A15" s="72" t="s">
        <v>128</v>
      </c>
      <c r="B15" s="73"/>
      <c r="C15" s="50"/>
      <c r="D15" s="50"/>
    </row>
    <row r="16" spans="1:18" ht="15.65" customHeight="1" x14ac:dyDescent="0.35">
      <c r="A16" s="74"/>
      <c r="B16" s="73"/>
      <c r="C16" s="50"/>
      <c r="D16" s="50"/>
      <c r="G16" s="170"/>
      <c r="H16" s="171"/>
      <c r="I16" s="172"/>
    </row>
    <row r="17" spans="1:25" s="75" customFormat="1" ht="15.65" customHeight="1" x14ac:dyDescent="0.35">
      <c r="B17" s="297" t="s">
        <v>119</v>
      </c>
      <c r="C17" s="297"/>
      <c r="D17" s="297"/>
      <c r="E17" s="297"/>
      <c r="F17" s="297"/>
      <c r="G17" s="169"/>
      <c r="H17" s="171"/>
      <c r="I17" s="172"/>
      <c r="J17" s="76"/>
      <c r="K17" s="76"/>
      <c r="L17" s="76"/>
      <c r="M17" s="77" t="s">
        <v>114</v>
      </c>
      <c r="N17" s="77"/>
      <c r="O17" s="77"/>
      <c r="P17" s="77"/>
      <c r="Q17" s="77"/>
      <c r="R17" s="77"/>
      <c r="S17" s="77"/>
      <c r="T17" s="77"/>
      <c r="U17" s="77"/>
      <c r="V17" s="77"/>
      <c r="W17" s="77"/>
      <c r="X17" s="77"/>
      <c r="Y17" s="77"/>
    </row>
    <row r="18" spans="1:25" ht="76.5" customHeight="1" x14ac:dyDescent="0.35">
      <c r="A18" s="246" t="s">
        <v>139</v>
      </c>
      <c r="B18" s="247" t="str">
        <f>B2</f>
        <v>Small</v>
      </c>
      <c r="C18" s="247" t="str">
        <f>C2</f>
        <v>Medium</v>
      </c>
      <c r="D18" s="247" t="str">
        <f>D2</f>
        <v>Large</v>
      </c>
      <c r="E18" s="247" t="str">
        <f>E2</f>
        <v>X-Large</v>
      </c>
      <c r="F18" s="247" t="str">
        <f>F2</f>
        <v>Artic</v>
      </c>
      <c r="G18" s="237" t="s">
        <v>140</v>
      </c>
      <c r="H18" s="240" t="s">
        <v>141</v>
      </c>
      <c r="I18" s="241" t="s">
        <v>77</v>
      </c>
      <c r="J18" s="242"/>
      <c r="K18" s="242" t="str">
        <f>B2</f>
        <v>Small</v>
      </c>
      <c r="L18" s="243" t="s">
        <v>77</v>
      </c>
      <c r="M18" s="242"/>
      <c r="N18" s="244" t="str">
        <f>CONCATENATE(C2," (includes Investment Incentive)")</f>
        <v>Medium (includes Investment Incentive)</v>
      </c>
      <c r="O18" s="243" t="s">
        <v>77</v>
      </c>
      <c r="P18" s="242"/>
      <c r="Q18" s="245" t="str">
        <f>CONCATENATE(D2," (includes Investment Incentive)")</f>
        <v>Large (includes Investment Incentive)</v>
      </c>
      <c r="R18" s="243" t="s">
        <v>77</v>
      </c>
      <c r="S18" s="242"/>
      <c r="T18" s="245" t="str">
        <f>CONCATENATE(E2," (includes Investment Incentive)")</f>
        <v>X-Large (includes Investment Incentive)</v>
      </c>
      <c r="U18" s="243" t="s">
        <v>77</v>
      </c>
      <c r="V18" s="242"/>
      <c r="W18" s="245" t="str">
        <f>CONCATENATE(F2," (includes Investment Incentive)")</f>
        <v>Artic (includes Investment Incentive)</v>
      </c>
    </row>
    <row r="19" spans="1:25" ht="15.65" customHeight="1" x14ac:dyDescent="0.35">
      <c r="A19" s="78">
        <v>0</v>
      </c>
      <c r="B19" s="79">
        <f>IF($A19&lt;=B$3,B$8,IF($A19&lt;=B$5,(B$8-(B$8-B$9)/($B$5-$B$3)*($A19-$B$3)),0))</f>
        <v>142263</v>
      </c>
      <c r="C19" s="79">
        <f t="shared" ref="C19:F44" si="3">IF($A19&lt;=C$3,C$8,IF($A19&lt;=C$5,(C$8-(C$8-C$9)/($F$5-$F$3)*($A19-C$3)),0))</f>
        <v>134000</v>
      </c>
      <c r="D19" s="79">
        <f t="shared" si="3"/>
        <v>154000</v>
      </c>
      <c r="E19" s="79">
        <f t="shared" si="3"/>
        <v>171000</v>
      </c>
      <c r="F19" s="79">
        <f t="shared" si="3"/>
        <v>196400</v>
      </c>
      <c r="G19" s="238">
        <v>4000</v>
      </c>
      <c r="H19" s="80">
        <v>0</v>
      </c>
      <c r="I19" s="81">
        <f>IF($B$5-$B$3-$A19&gt;0,$B$5-$B$3-$A19,0)</f>
        <v>10</v>
      </c>
      <c r="J19" s="40" t="str">
        <f>CONCATENATE(IF((I19)&lt;0,0,(I19))," payments of")</f>
        <v>10 payments of</v>
      </c>
      <c r="K19" s="176">
        <f>IF(H19&lt;Sml_Maximum_Age,(IF(I19&gt;0,PMT(B$14,I19,-B19,B$9),0)),0)</f>
        <v>19132.441511517598</v>
      </c>
      <c r="L19" s="81">
        <f t="shared" ref="L19:L44" si="4">IF(A19&gt;$C$4,0,IF(A19&lt;=$C$3,$C$5-$C$3,$C$5-$A19))</f>
        <v>15</v>
      </c>
      <c r="M19" s="40" t="str">
        <f t="shared" ref="M19:M28" si="5">CONCATENATE(IF((L19)&lt;0,0,(L19))," payments of")</f>
        <v>15 payments of</v>
      </c>
      <c r="N19" s="177">
        <f>IF(L19&gt;0,PMT(C$14,L19,-C19,C$9),0)+G19</f>
        <v>19709.002566859745</v>
      </c>
      <c r="O19" s="81">
        <f t="shared" ref="O19:O39" si="6">IF(A19&gt;$D$4,0,IF(A19&lt;=$D$3,$D$5-$D$3,$D$5-$A19))</f>
        <v>15</v>
      </c>
      <c r="P19" s="40" t="str">
        <f>CONCATENATE(IF((O19)&lt;0,0,(O19))," payments of")</f>
        <v>15 payments of</v>
      </c>
      <c r="Q19" s="177">
        <f>IF(O19&gt;0,PMT(D$14,O19,-D19,D$9),0)+G19</f>
        <v>22069.903722105508</v>
      </c>
      <c r="R19" s="81">
        <f t="shared" ref="R19" si="7">IF($A19&gt;$E$4,0,IF(A19&lt;=$E$3,$E$5-$E$3,$E$5-$A19))</f>
        <v>15</v>
      </c>
      <c r="S19" s="41" t="str">
        <f>CONCATENATE(IF((R19)&lt;0,0,(R19))," payments of")</f>
        <v>15 payments of</v>
      </c>
      <c r="T19" s="177">
        <f>IF(R19&gt;0,PMT(E$14,R19,-E19,E$9),0)+G19</f>
        <v>24076.669704064407</v>
      </c>
      <c r="U19" s="81">
        <f t="shared" ref="U19:U44" si="8">IF($A19&gt;$F$5,0,IF(A19&lt;=$F$3,$F$5-$F$3,$F$5-$A19))</f>
        <v>15</v>
      </c>
      <c r="V19" s="41" t="str">
        <f>CONCATENATE(IF((U19)&lt;0,0,(U19))," payments of")</f>
        <v>15 payments of</v>
      </c>
      <c r="W19" s="177">
        <f>IF(H19&lt;MaximumAge_Artic,IF(U19&gt;0,PMT(F$14,U19,-F19,F$9),0),0)+G19</f>
        <v>26820.598766890504</v>
      </c>
    </row>
    <row r="20" spans="1:25" ht="15.65" customHeight="1" x14ac:dyDescent="0.35">
      <c r="A20" s="78">
        <f>A19+1</f>
        <v>1</v>
      </c>
      <c r="B20" s="79">
        <f>IF($A20&lt;=B$3,B$8,IF($A20&lt;=B$5,(B$8-(B$8-B$9)/($B$5-$B$3)*($A20-$B$3)),0))</f>
        <v>130836.7</v>
      </c>
      <c r="C20" s="79">
        <f t="shared" si="3"/>
        <v>134000</v>
      </c>
      <c r="D20" s="79">
        <f t="shared" si="3"/>
        <v>154000</v>
      </c>
      <c r="E20" s="79">
        <f t="shared" si="3"/>
        <v>171000</v>
      </c>
      <c r="F20" s="79">
        <f t="shared" si="3"/>
        <v>196400</v>
      </c>
      <c r="G20" s="238">
        <v>4000</v>
      </c>
      <c r="H20" s="80">
        <f>H19+1</f>
        <v>1</v>
      </c>
      <c r="I20" s="81">
        <f t="shared" ref="I20:I44" si="9">IF($B$5-$B$3-$A20&gt;0,$B$5-$B$3-$A20,0)</f>
        <v>9</v>
      </c>
      <c r="J20" s="40" t="str">
        <f>CONCATENATE(IF(($B$5-$B$3-$A20)&lt;0,0,($B$5-$B$3-$A20))," payments of")</f>
        <v>9 payments of</v>
      </c>
      <c r="K20" s="176">
        <f t="shared" ref="K20:K44" si="10">IF(H20&lt;Sml_Maximum_Age,(IF(I20&gt;0,PMT(B$14,I20,-B20,B$9),0)),0)</f>
        <v>18576.786665742122</v>
      </c>
      <c r="L20" s="81">
        <f t="shared" si="4"/>
        <v>15</v>
      </c>
      <c r="M20" s="40" t="str">
        <f t="shared" si="5"/>
        <v>15 payments of</v>
      </c>
      <c r="N20" s="177">
        <f t="shared" ref="N20:N44" si="11">IF(L20&gt;0,PMT(C$14,L20,-C20,C$9),0)+G20</f>
        <v>19709.002566859745</v>
      </c>
      <c r="O20" s="81">
        <f t="shared" si="6"/>
        <v>15</v>
      </c>
      <c r="P20" s="40" t="str">
        <f>CONCATENATE(IF((O20)&lt;0,0,(O20))," payments of")</f>
        <v>15 payments of</v>
      </c>
      <c r="Q20" s="177">
        <f t="shared" ref="Q20:Q44" si="12">IF(O20&gt;0,PMT(D$14,O20,-D20,D$9),0)+G20</f>
        <v>22069.903722105508</v>
      </c>
      <c r="R20" s="81">
        <f t="shared" ref="R20:R39" si="13">IF($A20&gt;$E$4,0,IF(A20&lt;=$E$3,$E$5-$E$3,$E$5-$A20))</f>
        <v>15</v>
      </c>
      <c r="S20" s="41" t="str">
        <f t="shared" ref="S20:S44" si="14">CONCATENATE(IF((R20)&lt;0,0,(R20))," payments of")</f>
        <v>15 payments of</v>
      </c>
      <c r="T20" s="177">
        <f t="shared" ref="T20:T44" si="15">IF(R20&gt;0,PMT(E$14,R20,-E20,E$9),0)+G20</f>
        <v>24076.669704064407</v>
      </c>
      <c r="U20" s="81">
        <f t="shared" si="8"/>
        <v>15</v>
      </c>
      <c r="V20" s="41" t="str">
        <f t="shared" ref="V20:V44" si="16">CONCATENATE(IF((U20)&lt;0,0,(U20))," payments of")</f>
        <v>15 payments of</v>
      </c>
      <c r="W20" s="177">
        <f t="shared" ref="W20:W44" si="17">IF(H20&lt;MaximumAge_Artic,IF(U20&gt;0,PMT(F$14,U20,-F20,F$9),0),0)+G20</f>
        <v>26820.598766890504</v>
      </c>
    </row>
    <row r="21" spans="1:25" ht="15.65" customHeight="1" x14ac:dyDescent="0.35">
      <c r="A21" s="78">
        <f t="shared" ref="A21:A44" si="18">A20+1</f>
        <v>2</v>
      </c>
      <c r="B21" s="79">
        <f t="shared" ref="B21:B44" si="19">IF($A21&lt;=B$3,B$8,IF($A21&lt;=B$5,(B$8-(B$8-B$9)/($B$5-$B$3)*($A21-$B$3)),0))</f>
        <v>119410.4</v>
      </c>
      <c r="C21" s="79">
        <f t="shared" si="3"/>
        <v>134000</v>
      </c>
      <c r="D21" s="79">
        <f t="shared" si="3"/>
        <v>154000</v>
      </c>
      <c r="E21" s="79">
        <f t="shared" si="3"/>
        <v>171000</v>
      </c>
      <c r="F21" s="79">
        <f t="shared" si="3"/>
        <v>196400</v>
      </c>
      <c r="G21" s="238">
        <v>4000</v>
      </c>
      <c r="H21" s="80">
        <f t="shared" ref="H21:H44" si="20">H20+1</f>
        <v>2</v>
      </c>
      <c r="I21" s="81">
        <f t="shared" si="9"/>
        <v>8</v>
      </c>
      <c r="J21" s="40" t="str">
        <f t="shared" ref="J21:J44" si="21">CONCATENATE(IF(($B$5-$B$3-$A21)&lt;0,0,($B$5-$B$3-$A21))," payments of")</f>
        <v>8 payments of</v>
      </c>
      <c r="K21" s="176">
        <f t="shared" si="10"/>
        <v>18031.97141078857</v>
      </c>
      <c r="L21" s="81">
        <f t="shared" si="4"/>
        <v>15</v>
      </c>
      <c r="M21" s="40" t="str">
        <f t="shared" si="5"/>
        <v>15 payments of</v>
      </c>
      <c r="N21" s="177">
        <f t="shared" si="11"/>
        <v>19709.002566859745</v>
      </c>
      <c r="O21" s="81">
        <f t="shared" si="6"/>
        <v>15</v>
      </c>
      <c r="P21" s="40" t="str">
        <f t="shared" ref="P21:P44" si="22">CONCATENATE(IF((O21)&lt;0,0,(O21))," payments of")</f>
        <v>15 payments of</v>
      </c>
      <c r="Q21" s="177">
        <f t="shared" si="12"/>
        <v>22069.903722105508</v>
      </c>
      <c r="R21" s="81">
        <f t="shared" si="13"/>
        <v>15</v>
      </c>
      <c r="S21" s="41" t="str">
        <f t="shared" si="14"/>
        <v>15 payments of</v>
      </c>
      <c r="T21" s="177">
        <f t="shared" si="15"/>
        <v>24076.669704064407</v>
      </c>
      <c r="U21" s="81">
        <f t="shared" si="8"/>
        <v>15</v>
      </c>
      <c r="V21" s="41" t="str">
        <f t="shared" si="16"/>
        <v>15 payments of</v>
      </c>
      <c r="W21" s="177">
        <f t="shared" si="17"/>
        <v>26820.598766890504</v>
      </c>
    </row>
    <row r="22" spans="1:25" ht="15.65" customHeight="1" x14ac:dyDescent="0.35">
      <c r="A22" s="78">
        <f t="shared" si="18"/>
        <v>3</v>
      </c>
      <c r="B22" s="79">
        <f t="shared" si="19"/>
        <v>107984.1</v>
      </c>
      <c r="C22" s="79">
        <f t="shared" si="3"/>
        <v>134000</v>
      </c>
      <c r="D22" s="79">
        <f t="shared" si="3"/>
        <v>154000</v>
      </c>
      <c r="E22" s="79">
        <f t="shared" si="3"/>
        <v>171000</v>
      </c>
      <c r="F22" s="79">
        <f t="shared" si="3"/>
        <v>196400</v>
      </c>
      <c r="G22" s="238">
        <v>4000</v>
      </c>
      <c r="H22" s="80">
        <f t="shared" si="20"/>
        <v>3</v>
      </c>
      <c r="I22" s="81">
        <f t="shared" si="9"/>
        <v>7</v>
      </c>
      <c r="J22" s="40" t="str">
        <f t="shared" si="21"/>
        <v>7 payments of</v>
      </c>
      <c r="K22" s="176">
        <f t="shared" si="10"/>
        <v>17498.101156706878</v>
      </c>
      <c r="L22" s="81">
        <f t="shared" si="4"/>
        <v>15</v>
      </c>
      <c r="M22" s="40" t="str">
        <f t="shared" si="5"/>
        <v>15 payments of</v>
      </c>
      <c r="N22" s="177">
        <f t="shared" si="11"/>
        <v>19709.002566859745</v>
      </c>
      <c r="O22" s="81">
        <f t="shared" si="6"/>
        <v>15</v>
      </c>
      <c r="P22" s="40" t="str">
        <f t="shared" si="22"/>
        <v>15 payments of</v>
      </c>
      <c r="Q22" s="177">
        <f t="shared" si="12"/>
        <v>22069.903722105508</v>
      </c>
      <c r="R22" s="81">
        <f t="shared" si="13"/>
        <v>15</v>
      </c>
      <c r="S22" s="41" t="str">
        <f t="shared" si="14"/>
        <v>15 payments of</v>
      </c>
      <c r="T22" s="177">
        <f t="shared" si="15"/>
        <v>24076.669704064407</v>
      </c>
      <c r="U22" s="81">
        <f t="shared" si="8"/>
        <v>15</v>
      </c>
      <c r="V22" s="41" t="str">
        <f t="shared" si="16"/>
        <v>15 payments of</v>
      </c>
      <c r="W22" s="177">
        <f t="shared" si="17"/>
        <v>26820.598766890504</v>
      </c>
    </row>
    <row r="23" spans="1:25" ht="15.65" customHeight="1" x14ac:dyDescent="0.35">
      <c r="A23" s="78">
        <f t="shared" si="18"/>
        <v>4</v>
      </c>
      <c r="B23" s="79">
        <f t="shared" si="19"/>
        <v>96557.8</v>
      </c>
      <c r="C23" s="79">
        <f t="shared" si="3"/>
        <v>134000</v>
      </c>
      <c r="D23" s="79">
        <f t="shared" si="3"/>
        <v>154000</v>
      </c>
      <c r="E23" s="79">
        <f t="shared" si="3"/>
        <v>171000</v>
      </c>
      <c r="F23" s="79">
        <f t="shared" si="3"/>
        <v>196400</v>
      </c>
      <c r="G23" s="238">
        <v>4000</v>
      </c>
      <c r="H23" s="80">
        <f t="shared" si="20"/>
        <v>4</v>
      </c>
      <c r="I23" s="81">
        <f t="shared" si="9"/>
        <v>6</v>
      </c>
      <c r="J23" s="40" t="str">
        <f t="shared" si="21"/>
        <v>6 payments of</v>
      </c>
      <c r="K23" s="176">
        <f t="shared" si="10"/>
        <v>16975.269926316043</v>
      </c>
      <c r="L23" s="81">
        <f t="shared" si="4"/>
        <v>15</v>
      </c>
      <c r="M23" s="40" t="str">
        <f t="shared" si="5"/>
        <v>15 payments of</v>
      </c>
      <c r="N23" s="177">
        <f t="shared" si="11"/>
        <v>19709.002566859745</v>
      </c>
      <c r="O23" s="81">
        <f t="shared" si="6"/>
        <v>15</v>
      </c>
      <c r="P23" s="40" t="str">
        <f t="shared" si="22"/>
        <v>15 payments of</v>
      </c>
      <c r="Q23" s="177">
        <f t="shared" si="12"/>
        <v>22069.903722105508</v>
      </c>
      <c r="R23" s="81">
        <f t="shared" si="13"/>
        <v>15</v>
      </c>
      <c r="S23" s="41" t="str">
        <f t="shared" si="14"/>
        <v>15 payments of</v>
      </c>
      <c r="T23" s="177">
        <f t="shared" si="15"/>
        <v>24076.669704064407</v>
      </c>
      <c r="U23" s="81">
        <f t="shared" si="8"/>
        <v>15</v>
      </c>
      <c r="V23" s="41" t="str">
        <f t="shared" si="16"/>
        <v>15 payments of</v>
      </c>
      <c r="W23" s="177">
        <f t="shared" si="17"/>
        <v>26820.598766890504</v>
      </c>
    </row>
    <row r="24" spans="1:25" ht="15.65" customHeight="1" x14ac:dyDescent="0.35">
      <c r="A24" s="78">
        <f t="shared" si="18"/>
        <v>5</v>
      </c>
      <c r="B24" s="79">
        <f t="shared" si="19"/>
        <v>85131.5</v>
      </c>
      <c r="C24" s="79">
        <f t="shared" si="3"/>
        <v>134000</v>
      </c>
      <c r="D24" s="79">
        <f t="shared" si="3"/>
        <v>154000</v>
      </c>
      <c r="E24" s="79">
        <f t="shared" si="3"/>
        <v>171000</v>
      </c>
      <c r="F24" s="79">
        <f t="shared" si="3"/>
        <v>196400</v>
      </c>
      <c r="G24" s="238">
        <v>4000</v>
      </c>
      <c r="H24" s="80">
        <f t="shared" si="20"/>
        <v>5</v>
      </c>
      <c r="I24" s="81">
        <f t="shared" si="9"/>
        <v>5</v>
      </c>
      <c r="J24" s="40" t="str">
        <f t="shared" si="21"/>
        <v>5 payments of</v>
      </c>
      <c r="K24" s="176">
        <f t="shared" si="10"/>
        <v>16463.559984220592</v>
      </c>
      <c r="L24" s="81">
        <f t="shared" si="4"/>
        <v>15</v>
      </c>
      <c r="M24" s="40" t="str">
        <f t="shared" si="5"/>
        <v>15 payments of</v>
      </c>
      <c r="N24" s="177">
        <f t="shared" si="11"/>
        <v>19709.002566859745</v>
      </c>
      <c r="O24" s="81">
        <f t="shared" si="6"/>
        <v>15</v>
      </c>
      <c r="P24" s="40" t="str">
        <f t="shared" si="22"/>
        <v>15 payments of</v>
      </c>
      <c r="Q24" s="177">
        <f t="shared" si="12"/>
        <v>22069.903722105508</v>
      </c>
      <c r="R24" s="81">
        <f t="shared" si="13"/>
        <v>15</v>
      </c>
      <c r="S24" s="41" t="str">
        <f t="shared" si="14"/>
        <v>15 payments of</v>
      </c>
      <c r="T24" s="177">
        <f t="shared" si="15"/>
        <v>24076.669704064407</v>
      </c>
      <c r="U24" s="81">
        <f t="shared" si="8"/>
        <v>15</v>
      </c>
      <c r="V24" s="41" t="str">
        <f t="shared" si="16"/>
        <v>15 payments of</v>
      </c>
      <c r="W24" s="177">
        <f t="shared" si="17"/>
        <v>26820.598766890504</v>
      </c>
    </row>
    <row r="25" spans="1:25" ht="15.65" customHeight="1" x14ac:dyDescent="0.35">
      <c r="A25" s="78">
        <f t="shared" si="18"/>
        <v>6</v>
      </c>
      <c r="B25" s="79">
        <f t="shared" si="19"/>
        <v>73705.200000000012</v>
      </c>
      <c r="C25" s="79">
        <f t="shared" si="3"/>
        <v>134000</v>
      </c>
      <c r="D25" s="79">
        <f t="shared" si="3"/>
        <v>154000</v>
      </c>
      <c r="E25" s="79">
        <f t="shared" si="3"/>
        <v>171000</v>
      </c>
      <c r="F25" s="79">
        <f t="shared" si="3"/>
        <v>196400</v>
      </c>
      <c r="G25" s="238">
        <v>3600</v>
      </c>
      <c r="H25" s="80">
        <f t="shared" si="20"/>
        <v>6</v>
      </c>
      <c r="I25" s="81">
        <f t="shared" si="9"/>
        <v>4</v>
      </c>
      <c r="J25" s="40" t="str">
        <f t="shared" si="21"/>
        <v>4 payments of</v>
      </c>
      <c r="K25" s="176">
        <f t="shared" si="10"/>
        <v>15963.041509201779</v>
      </c>
      <c r="L25" s="81">
        <f t="shared" si="4"/>
        <v>15</v>
      </c>
      <c r="M25" s="40" t="str">
        <f t="shared" si="5"/>
        <v>15 payments of</v>
      </c>
      <c r="N25" s="177">
        <f t="shared" si="11"/>
        <v>19309.002566859745</v>
      </c>
      <c r="O25" s="81">
        <f t="shared" si="6"/>
        <v>15</v>
      </c>
      <c r="P25" s="40" t="str">
        <f t="shared" si="22"/>
        <v>15 payments of</v>
      </c>
      <c r="Q25" s="177">
        <f t="shared" si="12"/>
        <v>21669.903722105508</v>
      </c>
      <c r="R25" s="81">
        <f t="shared" si="13"/>
        <v>15</v>
      </c>
      <c r="S25" s="41" t="str">
        <f t="shared" si="14"/>
        <v>15 payments of</v>
      </c>
      <c r="T25" s="177">
        <f t="shared" si="15"/>
        <v>23676.669704064407</v>
      </c>
      <c r="U25" s="81">
        <f t="shared" si="8"/>
        <v>15</v>
      </c>
      <c r="V25" s="41" t="str">
        <f t="shared" si="16"/>
        <v>15 payments of</v>
      </c>
      <c r="W25" s="177">
        <f t="shared" si="17"/>
        <v>26420.598766890504</v>
      </c>
    </row>
    <row r="26" spans="1:25" ht="15.65" customHeight="1" x14ac:dyDescent="0.35">
      <c r="A26" s="78">
        <f t="shared" si="18"/>
        <v>7</v>
      </c>
      <c r="B26" s="79">
        <f t="shared" si="19"/>
        <v>62278.900000000009</v>
      </c>
      <c r="C26" s="79">
        <f t="shared" si="3"/>
        <v>134000</v>
      </c>
      <c r="D26" s="79">
        <f t="shared" si="3"/>
        <v>154000</v>
      </c>
      <c r="E26" s="79">
        <f t="shared" si="3"/>
        <v>171000</v>
      </c>
      <c r="F26" s="79">
        <f t="shared" si="3"/>
        <v>196400</v>
      </c>
      <c r="G26" s="238">
        <v>3200</v>
      </c>
      <c r="H26" s="80">
        <f t="shared" si="20"/>
        <v>7</v>
      </c>
      <c r="I26" s="81">
        <f t="shared" si="9"/>
        <v>3</v>
      </c>
      <c r="J26" s="40" t="str">
        <f t="shared" si="21"/>
        <v>3 payments of</v>
      </c>
      <c r="K26" s="176">
        <f t="shared" si="10"/>
        <v>15473.772312518089</v>
      </c>
      <c r="L26" s="81">
        <f t="shared" si="4"/>
        <v>15</v>
      </c>
      <c r="M26" s="40" t="str">
        <f t="shared" si="5"/>
        <v>15 payments of</v>
      </c>
      <c r="N26" s="177">
        <f t="shared" si="11"/>
        <v>18909.002566859745</v>
      </c>
      <c r="O26" s="81">
        <f t="shared" si="6"/>
        <v>15</v>
      </c>
      <c r="P26" s="40" t="str">
        <f t="shared" si="22"/>
        <v>15 payments of</v>
      </c>
      <c r="Q26" s="177">
        <f t="shared" si="12"/>
        <v>21269.903722105508</v>
      </c>
      <c r="R26" s="81">
        <f t="shared" si="13"/>
        <v>15</v>
      </c>
      <c r="S26" s="41" t="str">
        <f t="shared" si="14"/>
        <v>15 payments of</v>
      </c>
      <c r="T26" s="177">
        <f t="shared" si="15"/>
        <v>23276.669704064407</v>
      </c>
      <c r="U26" s="81">
        <f t="shared" si="8"/>
        <v>15</v>
      </c>
      <c r="V26" s="41" t="str">
        <f t="shared" si="16"/>
        <v>15 payments of</v>
      </c>
      <c r="W26" s="177">
        <f t="shared" si="17"/>
        <v>26020.598766890504</v>
      </c>
    </row>
    <row r="27" spans="1:25" ht="15.65" customHeight="1" x14ac:dyDescent="0.35">
      <c r="A27" s="78">
        <f t="shared" si="18"/>
        <v>8</v>
      </c>
      <c r="B27" s="79">
        <f t="shared" si="19"/>
        <v>50852.600000000006</v>
      </c>
      <c r="C27" s="79">
        <f t="shared" si="3"/>
        <v>134000</v>
      </c>
      <c r="D27" s="79">
        <f t="shared" si="3"/>
        <v>154000</v>
      </c>
      <c r="E27" s="79">
        <f t="shared" si="3"/>
        <v>171000</v>
      </c>
      <c r="F27" s="79">
        <f t="shared" si="3"/>
        <v>196400</v>
      </c>
      <c r="G27" s="238">
        <v>2800</v>
      </c>
      <c r="H27" s="80">
        <f t="shared" si="20"/>
        <v>8</v>
      </c>
      <c r="I27" s="81">
        <f t="shared" si="9"/>
        <v>2</v>
      </c>
      <c r="J27" s="40" t="str">
        <f t="shared" si="21"/>
        <v>2 payments of</v>
      </c>
      <c r="K27" s="176">
        <f t="shared" si="10"/>
        <v>14995.797604317122</v>
      </c>
      <c r="L27" s="81">
        <f t="shared" si="4"/>
        <v>15</v>
      </c>
      <c r="M27" s="40" t="str">
        <f t="shared" si="5"/>
        <v>15 payments of</v>
      </c>
      <c r="N27" s="177">
        <f t="shared" si="11"/>
        <v>18509.002566859745</v>
      </c>
      <c r="O27" s="81">
        <f t="shared" si="6"/>
        <v>15</v>
      </c>
      <c r="P27" s="40" t="str">
        <f t="shared" si="22"/>
        <v>15 payments of</v>
      </c>
      <c r="Q27" s="177">
        <f t="shared" si="12"/>
        <v>20869.903722105508</v>
      </c>
      <c r="R27" s="81">
        <f t="shared" si="13"/>
        <v>15</v>
      </c>
      <c r="S27" s="41" t="str">
        <f t="shared" si="14"/>
        <v>15 payments of</v>
      </c>
      <c r="T27" s="177">
        <f t="shared" si="15"/>
        <v>22876.669704064407</v>
      </c>
      <c r="U27" s="81">
        <f t="shared" si="8"/>
        <v>15</v>
      </c>
      <c r="V27" s="41" t="str">
        <f t="shared" si="16"/>
        <v>15 payments of</v>
      </c>
      <c r="W27" s="177">
        <f t="shared" si="17"/>
        <v>25620.598766890504</v>
      </c>
    </row>
    <row r="28" spans="1:25" ht="15.65" customHeight="1" x14ac:dyDescent="0.35">
      <c r="A28" s="78">
        <f t="shared" si="18"/>
        <v>9</v>
      </c>
      <c r="B28" s="79">
        <f>IF($A28&lt;=B$3,B$8,IF($A28&lt;=B$5,(B$8-(B$8-B$9)/($B$5-$B$3)*($A28-$B$3)),0))</f>
        <v>39426.300000000003</v>
      </c>
      <c r="C28" s="79">
        <f t="shared" si="3"/>
        <v>134000</v>
      </c>
      <c r="D28" s="79">
        <f t="shared" si="3"/>
        <v>154000</v>
      </c>
      <c r="E28" s="79">
        <f t="shared" si="3"/>
        <v>171000</v>
      </c>
      <c r="F28" s="79">
        <f t="shared" si="3"/>
        <v>196400</v>
      </c>
      <c r="G28" s="238">
        <v>2400</v>
      </c>
      <c r="H28" s="80">
        <f t="shared" si="20"/>
        <v>9</v>
      </c>
      <c r="I28" s="81">
        <f t="shared" si="9"/>
        <v>1</v>
      </c>
      <c r="J28" s="40" t="str">
        <f t="shared" si="21"/>
        <v>1 payments of</v>
      </c>
      <c r="K28" s="176">
        <f t="shared" si="10"/>
        <v>14529.149810000003</v>
      </c>
      <c r="L28" s="81">
        <f t="shared" si="4"/>
        <v>15</v>
      </c>
      <c r="M28" s="40" t="str">
        <f t="shared" si="5"/>
        <v>15 payments of</v>
      </c>
      <c r="N28" s="177">
        <f t="shared" si="11"/>
        <v>18109.002566859745</v>
      </c>
      <c r="O28" s="81">
        <f t="shared" si="6"/>
        <v>15</v>
      </c>
      <c r="P28" s="40" t="str">
        <f t="shared" si="22"/>
        <v>15 payments of</v>
      </c>
      <c r="Q28" s="177">
        <f t="shared" si="12"/>
        <v>20469.903722105508</v>
      </c>
      <c r="R28" s="81">
        <f t="shared" si="13"/>
        <v>15</v>
      </c>
      <c r="S28" s="41" t="str">
        <f t="shared" si="14"/>
        <v>15 payments of</v>
      </c>
      <c r="T28" s="177">
        <f t="shared" si="15"/>
        <v>22476.669704064407</v>
      </c>
      <c r="U28" s="81">
        <f t="shared" si="8"/>
        <v>15</v>
      </c>
      <c r="V28" s="41" t="str">
        <f t="shared" si="16"/>
        <v>15 payments of</v>
      </c>
      <c r="W28" s="177">
        <f t="shared" si="17"/>
        <v>25220.598766890504</v>
      </c>
    </row>
    <row r="29" spans="1:25" ht="15.65" customHeight="1" x14ac:dyDescent="0.35">
      <c r="A29" s="78">
        <f t="shared" si="18"/>
        <v>10</v>
      </c>
      <c r="B29" s="79">
        <f t="shared" si="19"/>
        <v>28000</v>
      </c>
      <c r="C29" s="79">
        <f t="shared" si="3"/>
        <v>134000</v>
      </c>
      <c r="D29" s="79">
        <f t="shared" si="3"/>
        <v>154000</v>
      </c>
      <c r="E29" s="79">
        <f t="shared" si="3"/>
        <v>171000</v>
      </c>
      <c r="F29" s="79">
        <f t="shared" si="3"/>
        <v>196400</v>
      </c>
      <c r="G29" s="238">
        <v>2000</v>
      </c>
      <c r="H29" s="80">
        <f t="shared" si="20"/>
        <v>10</v>
      </c>
      <c r="I29" s="81">
        <f t="shared" si="9"/>
        <v>0</v>
      </c>
      <c r="J29" s="40" t="str">
        <f t="shared" si="21"/>
        <v>0 payments of</v>
      </c>
      <c r="K29" s="176">
        <f t="shared" si="10"/>
        <v>0</v>
      </c>
      <c r="L29" s="81">
        <f t="shared" si="4"/>
        <v>15</v>
      </c>
      <c r="M29" s="40" t="str">
        <f>CONCATENATE(IF((L29)&lt;0,0,(L29))," payments of")</f>
        <v>15 payments of</v>
      </c>
      <c r="N29" s="177">
        <f t="shared" si="11"/>
        <v>17709.002566859745</v>
      </c>
      <c r="O29" s="81">
        <f t="shared" si="6"/>
        <v>15</v>
      </c>
      <c r="P29" s="40" t="str">
        <f t="shared" si="22"/>
        <v>15 payments of</v>
      </c>
      <c r="Q29" s="177">
        <f t="shared" si="12"/>
        <v>20069.903722105508</v>
      </c>
      <c r="R29" s="81">
        <f t="shared" si="13"/>
        <v>15</v>
      </c>
      <c r="S29" s="41" t="str">
        <f t="shared" si="14"/>
        <v>15 payments of</v>
      </c>
      <c r="T29" s="177">
        <f t="shared" si="15"/>
        <v>22076.669704064407</v>
      </c>
      <c r="U29" s="81">
        <f t="shared" si="8"/>
        <v>15</v>
      </c>
      <c r="V29" s="41" t="str">
        <f t="shared" si="16"/>
        <v>15 payments of</v>
      </c>
      <c r="W29" s="177">
        <f t="shared" si="17"/>
        <v>24820.598766890504</v>
      </c>
    </row>
    <row r="30" spans="1:25" ht="15.65" customHeight="1" x14ac:dyDescent="0.35">
      <c r="A30" s="78">
        <f t="shared" si="18"/>
        <v>11</v>
      </c>
      <c r="B30" s="79">
        <f t="shared" si="19"/>
        <v>0</v>
      </c>
      <c r="C30" s="79">
        <f t="shared" si="3"/>
        <v>125266.66666666667</v>
      </c>
      <c r="D30" s="79">
        <f t="shared" si="3"/>
        <v>143933.33333333334</v>
      </c>
      <c r="E30" s="79">
        <f t="shared" si="3"/>
        <v>159800</v>
      </c>
      <c r="F30" s="79">
        <f t="shared" si="3"/>
        <v>183973.33333333334</v>
      </c>
      <c r="G30" s="238">
        <v>1600</v>
      </c>
      <c r="H30" s="80">
        <f>H29+1</f>
        <v>11</v>
      </c>
      <c r="I30" s="81">
        <f t="shared" si="9"/>
        <v>0</v>
      </c>
      <c r="J30" s="40" t="str">
        <f t="shared" si="21"/>
        <v>0 payments of</v>
      </c>
      <c r="K30" s="176">
        <f t="shared" si="10"/>
        <v>0</v>
      </c>
      <c r="L30" s="81">
        <f t="shared" si="4"/>
        <v>14</v>
      </c>
      <c r="M30" s="40" t="str">
        <f t="shared" ref="M30:M44" si="23">CONCATENATE(IF((L30)&lt;0,0,(L30))," payments of")</f>
        <v>14 payments of</v>
      </c>
      <c r="N30" s="177">
        <f t="shared" si="11"/>
        <v>16822.427564526522</v>
      </c>
      <c r="O30" s="81">
        <f t="shared" si="6"/>
        <v>14</v>
      </c>
      <c r="P30" s="40" t="str">
        <f t="shared" si="22"/>
        <v>14 payments of</v>
      </c>
      <c r="Q30" s="177">
        <f t="shared" si="12"/>
        <v>19109.042459874083</v>
      </c>
      <c r="R30" s="81">
        <f t="shared" si="13"/>
        <v>14</v>
      </c>
      <c r="S30" s="41" t="str">
        <f t="shared" si="14"/>
        <v>14 payments of</v>
      </c>
      <c r="T30" s="177">
        <f t="shared" si="15"/>
        <v>21052.665120919508</v>
      </c>
      <c r="U30" s="81">
        <f t="shared" si="8"/>
        <v>14</v>
      </c>
      <c r="V30" s="41" t="str">
        <f t="shared" si="16"/>
        <v>14 payments of</v>
      </c>
      <c r="W30" s="177">
        <f t="shared" si="17"/>
        <v>23728.250824639264</v>
      </c>
    </row>
    <row r="31" spans="1:25" ht="15.65" customHeight="1" x14ac:dyDescent="0.35">
      <c r="A31" s="78">
        <f t="shared" si="18"/>
        <v>12</v>
      </c>
      <c r="B31" s="79">
        <f t="shared" si="19"/>
        <v>0</v>
      </c>
      <c r="C31" s="79">
        <f t="shared" si="3"/>
        <v>116533.33333333333</v>
      </c>
      <c r="D31" s="79">
        <f t="shared" si="3"/>
        <v>133866.66666666666</v>
      </c>
      <c r="E31" s="79">
        <f t="shared" si="3"/>
        <v>148600</v>
      </c>
      <c r="F31" s="79">
        <f t="shared" si="3"/>
        <v>171546.66666666666</v>
      </c>
      <c r="G31" s="238">
        <v>1200</v>
      </c>
      <c r="H31" s="80">
        <f t="shared" si="20"/>
        <v>12</v>
      </c>
      <c r="I31" s="81">
        <f t="shared" si="9"/>
        <v>0</v>
      </c>
      <c r="J31" s="40" t="str">
        <f t="shared" si="21"/>
        <v>0 payments of</v>
      </c>
      <c r="K31" s="176">
        <f t="shared" si="10"/>
        <v>0</v>
      </c>
      <c r="L31" s="81">
        <f t="shared" si="4"/>
        <v>13</v>
      </c>
      <c r="M31" s="40" t="str">
        <f t="shared" si="23"/>
        <v>13 payments of</v>
      </c>
      <c r="N31" s="177">
        <f t="shared" si="11"/>
        <v>15944.139032755154</v>
      </c>
      <c r="O31" s="81">
        <f t="shared" si="6"/>
        <v>13</v>
      </c>
      <c r="P31" s="40" t="str">
        <f t="shared" si="22"/>
        <v>13 payments of</v>
      </c>
      <c r="Q31" s="177">
        <f t="shared" si="12"/>
        <v>18157.732778213958</v>
      </c>
      <c r="R31" s="81">
        <f t="shared" si="13"/>
        <v>13</v>
      </c>
      <c r="S31" s="41" t="str">
        <f t="shared" si="14"/>
        <v>13 payments of</v>
      </c>
      <c r="T31" s="177">
        <f t="shared" si="15"/>
        <v>20039.287461853939</v>
      </c>
      <c r="U31" s="81">
        <f t="shared" si="8"/>
        <v>13</v>
      </c>
      <c r="V31" s="41" t="str">
        <f t="shared" si="16"/>
        <v>13 payments of</v>
      </c>
      <c r="W31" s="177">
        <f t="shared" si="17"/>
        <v>22647.693707676037</v>
      </c>
    </row>
    <row r="32" spans="1:25" ht="15.65" customHeight="1" x14ac:dyDescent="0.35">
      <c r="A32" s="78">
        <f t="shared" si="18"/>
        <v>13</v>
      </c>
      <c r="B32" s="79">
        <f t="shared" si="19"/>
        <v>0</v>
      </c>
      <c r="C32" s="79">
        <f t="shared" si="3"/>
        <v>107800</v>
      </c>
      <c r="D32" s="79">
        <f t="shared" si="3"/>
        <v>123800</v>
      </c>
      <c r="E32" s="79">
        <f t="shared" si="3"/>
        <v>137400</v>
      </c>
      <c r="F32" s="79">
        <f t="shared" si="3"/>
        <v>159120</v>
      </c>
      <c r="G32" s="238">
        <v>800</v>
      </c>
      <c r="H32" s="80">
        <f t="shared" si="20"/>
        <v>13</v>
      </c>
      <c r="I32" s="81">
        <f t="shared" si="9"/>
        <v>0</v>
      </c>
      <c r="J32" s="40" t="str">
        <f t="shared" si="21"/>
        <v>0 payments of</v>
      </c>
      <c r="K32" s="176">
        <f t="shared" si="10"/>
        <v>0</v>
      </c>
      <c r="L32" s="81">
        <f t="shared" si="4"/>
        <v>12</v>
      </c>
      <c r="M32" s="40" t="str">
        <f t="shared" si="23"/>
        <v>12 payments of</v>
      </c>
      <c r="N32" s="177">
        <f t="shared" si="11"/>
        <v>15074.273157623486</v>
      </c>
      <c r="O32" s="81">
        <f t="shared" si="6"/>
        <v>12</v>
      </c>
      <c r="P32" s="40" t="str">
        <f t="shared" si="22"/>
        <v>12 payments of</v>
      </c>
      <c r="Q32" s="177">
        <f t="shared" si="12"/>
        <v>17216.131654970581</v>
      </c>
      <c r="R32" s="81">
        <f t="shared" si="13"/>
        <v>12</v>
      </c>
      <c r="S32" s="41" t="str">
        <f t="shared" si="14"/>
        <v>12 payments of</v>
      </c>
      <c r="T32" s="177">
        <f t="shared" si="15"/>
        <v>19036.711377715616</v>
      </c>
      <c r="U32" s="81">
        <f t="shared" si="8"/>
        <v>12</v>
      </c>
      <c r="V32" s="41" t="str">
        <f t="shared" si="16"/>
        <v>12 payments of</v>
      </c>
      <c r="W32" s="177">
        <f t="shared" si="17"/>
        <v>21579.121195274944</v>
      </c>
    </row>
    <row r="33" spans="1:23" ht="15.65" customHeight="1" x14ac:dyDescent="0.35">
      <c r="A33" s="78">
        <f t="shared" si="18"/>
        <v>14</v>
      </c>
      <c r="B33" s="79">
        <f t="shared" si="19"/>
        <v>0</v>
      </c>
      <c r="C33" s="79">
        <f t="shared" si="3"/>
        <v>99066.666666666657</v>
      </c>
      <c r="D33" s="79">
        <f t="shared" si="3"/>
        <v>113733.33333333334</v>
      </c>
      <c r="E33" s="79">
        <f t="shared" si="3"/>
        <v>126200</v>
      </c>
      <c r="F33" s="79">
        <f t="shared" si="3"/>
        <v>146693.33333333334</v>
      </c>
      <c r="G33" s="238">
        <v>400</v>
      </c>
      <c r="H33" s="80">
        <f t="shared" si="20"/>
        <v>14</v>
      </c>
      <c r="I33" s="81">
        <f t="shared" si="9"/>
        <v>0</v>
      </c>
      <c r="J33" s="40" t="str">
        <f t="shared" si="21"/>
        <v>0 payments of</v>
      </c>
      <c r="K33" s="176">
        <f t="shared" si="10"/>
        <v>0</v>
      </c>
      <c r="L33" s="81">
        <f t="shared" si="4"/>
        <v>11</v>
      </c>
      <c r="M33" s="40" t="str">
        <f t="shared" si="23"/>
        <v>11 payments of</v>
      </c>
      <c r="N33" s="177">
        <f t="shared" si="11"/>
        <v>14212.958414254434</v>
      </c>
      <c r="O33" s="81">
        <f t="shared" si="6"/>
        <v>11</v>
      </c>
      <c r="P33" s="40" t="str">
        <f t="shared" si="22"/>
        <v>11 payments of</v>
      </c>
      <c r="Q33" s="177">
        <f t="shared" si="12"/>
        <v>16284.387179789464</v>
      </c>
      <c r="R33" s="81">
        <f t="shared" si="13"/>
        <v>11</v>
      </c>
      <c r="S33" s="41" t="str">
        <f t="shared" si="14"/>
        <v>11 payments of</v>
      </c>
      <c r="T33" s="177">
        <f t="shared" si="15"/>
        <v>18045.101630494239</v>
      </c>
      <c r="U33" s="81">
        <f t="shared" si="8"/>
        <v>11</v>
      </c>
      <c r="V33" s="41" t="str">
        <f t="shared" si="16"/>
        <v>11 payments of</v>
      </c>
      <c r="W33" s="177">
        <f t="shared" si="17"/>
        <v>20522.716094786465</v>
      </c>
    </row>
    <row r="34" spans="1:23" s="73" customFormat="1" ht="15.65" customHeight="1" x14ac:dyDescent="0.35">
      <c r="A34" s="82">
        <f t="shared" si="18"/>
        <v>15</v>
      </c>
      <c r="B34" s="79">
        <f t="shared" si="19"/>
        <v>0</v>
      </c>
      <c r="C34" s="79">
        <f t="shared" si="3"/>
        <v>90333.333333333328</v>
      </c>
      <c r="D34" s="79">
        <f t="shared" si="3"/>
        <v>103666.66666666667</v>
      </c>
      <c r="E34" s="79">
        <f t="shared" si="3"/>
        <v>115000</v>
      </c>
      <c r="F34" s="79">
        <f t="shared" si="3"/>
        <v>134266.66666666669</v>
      </c>
      <c r="G34" s="239">
        <v>0</v>
      </c>
      <c r="H34" s="80">
        <f t="shared" si="20"/>
        <v>15</v>
      </c>
      <c r="I34" s="81">
        <f t="shared" si="9"/>
        <v>0</v>
      </c>
      <c r="J34" s="40" t="str">
        <f t="shared" si="21"/>
        <v>0 payments of</v>
      </c>
      <c r="K34" s="176">
        <f t="shared" si="10"/>
        <v>0</v>
      </c>
      <c r="L34" s="81">
        <f t="shared" si="4"/>
        <v>10</v>
      </c>
      <c r="M34" s="40" t="str">
        <f t="shared" si="23"/>
        <v>10 payments of</v>
      </c>
      <c r="N34" s="177">
        <f t="shared" si="11"/>
        <v>13360.315061374462</v>
      </c>
      <c r="O34" s="81">
        <f t="shared" si="6"/>
        <v>10</v>
      </c>
      <c r="P34" s="40" t="str">
        <f t="shared" si="22"/>
        <v>10 payments of</v>
      </c>
      <c r="Q34" s="177">
        <f t="shared" si="12"/>
        <v>15362.637971507969</v>
      </c>
      <c r="R34" s="81">
        <f t="shared" si="13"/>
        <v>10</v>
      </c>
      <c r="S34" s="41" t="str">
        <f t="shared" si="14"/>
        <v>10 payments of</v>
      </c>
      <c r="T34" s="177">
        <f t="shared" si="15"/>
        <v>17064.612445121445</v>
      </c>
      <c r="U34" s="81">
        <f t="shared" si="8"/>
        <v>10</v>
      </c>
      <c r="V34" s="41" t="str">
        <f t="shared" si="16"/>
        <v>10 payments of</v>
      </c>
      <c r="W34" s="177">
        <f t="shared" si="17"/>
        <v>19478.649522444273</v>
      </c>
    </row>
    <row r="35" spans="1:23" ht="15.65" customHeight="1" x14ac:dyDescent="0.35">
      <c r="A35" s="78">
        <f t="shared" si="18"/>
        <v>16</v>
      </c>
      <c r="B35" s="79">
        <f t="shared" si="19"/>
        <v>0</v>
      </c>
      <c r="C35" s="79">
        <f t="shared" si="3"/>
        <v>81600</v>
      </c>
      <c r="D35" s="79">
        <f t="shared" si="3"/>
        <v>93600</v>
      </c>
      <c r="E35" s="79">
        <f t="shared" si="3"/>
        <v>103800</v>
      </c>
      <c r="F35" s="79">
        <f t="shared" si="3"/>
        <v>121840</v>
      </c>
      <c r="G35" s="239">
        <v>0</v>
      </c>
      <c r="H35" s="80">
        <f t="shared" si="20"/>
        <v>16</v>
      </c>
      <c r="I35" s="81">
        <f t="shared" si="9"/>
        <v>0</v>
      </c>
      <c r="J35" s="40" t="str">
        <f t="shared" si="21"/>
        <v>0 payments of</v>
      </c>
      <c r="K35" s="176">
        <f t="shared" si="10"/>
        <v>0</v>
      </c>
      <c r="L35" s="81">
        <f t="shared" si="4"/>
        <v>9</v>
      </c>
      <c r="M35" s="40" t="str">
        <f t="shared" si="23"/>
        <v>9 payments of</v>
      </c>
      <c r="N35" s="177">
        <f t="shared" si="11"/>
        <v>12916.454659866762</v>
      </c>
      <c r="O35" s="81">
        <f t="shared" si="6"/>
        <v>9</v>
      </c>
      <c r="P35" s="40" t="str">
        <f t="shared" si="22"/>
        <v>9 payments of</v>
      </c>
      <c r="Q35" s="177">
        <f t="shared" si="12"/>
        <v>14851.012623205201</v>
      </c>
      <c r="R35" s="81">
        <f t="shared" si="13"/>
        <v>9</v>
      </c>
      <c r="S35" s="41" t="str">
        <f t="shared" si="14"/>
        <v>9 payments of</v>
      </c>
      <c r="T35" s="177">
        <f t="shared" si="15"/>
        <v>16495.386892042872</v>
      </c>
      <c r="U35" s="81">
        <f t="shared" si="8"/>
        <v>9</v>
      </c>
      <c r="V35" s="41" t="str">
        <f t="shared" si="16"/>
        <v>9 payments of</v>
      </c>
      <c r="W35" s="177">
        <f t="shared" si="17"/>
        <v>18847.080218314233</v>
      </c>
    </row>
    <row r="36" spans="1:23" ht="15.65" customHeight="1" x14ac:dyDescent="0.35">
      <c r="A36" s="78">
        <f t="shared" si="18"/>
        <v>17</v>
      </c>
      <c r="B36" s="79">
        <f t="shared" si="19"/>
        <v>0</v>
      </c>
      <c r="C36" s="79">
        <f t="shared" si="3"/>
        <v>72866.666666666657</v>
      </c>
      <c r="D36" s="79">
        <f t="shared" si="3"/>
        <v>83533.333333333343</v>
      </c>
      <c r="E36" s="79">
        <f t="shared" si="3"/>
        <v>92600</v>
      </c>
      <c r="F36" s="79">
        <f t="shared" si="3"/>
        <v>109413.33333333334</v>
      </c>
      <c r="G36" s="239">
        <v>0</v>
      </c>
      <c r="H36" s="80">
        <f t="shared" si="20"/>
        <v>17</v>
      </c>
      <c r="I36" s="81">
        <f t="shared" si="9"/>
        <v>0</v>
      </c>
      <c r="J36" s="40" t="str">
        <f t="shared" si="21"/>
        <v>0 payments of</v>
      </c>
      <c r="K36" s="176">
        <f t="shared" si="10"/>
        <v>0</v>
      </c>
      <c r="L36" s="81">
        <f t="shared" si="4"/>
        <v>8</v>
      </c>
      <c r="M36" s="40" t="str">
        <f t="shared" si="23"/>
        <v>8 payments of</v>
      </c>
      <c r="N36" s="177">
        <f t="shared" si="11"/>
        <v>12481.479618983079</v>
      </c>
      <c r="O36" s="81">
        <f t="shared" si="6"/>
        <v>8</v>
      </c>
      <c r="P36" s="40" t="str">
        <f t="shared" si="22"/>
        <v>8 payments of</v>
      </c>
      <c r="Q36" s="177">
        <f t="shared" si="12"/>
        <v>14349.629179133173</v>
      </c>
      <c r="R36" s="81">
        <f t="shared" si="13"/>
        <v>8</v>
      </c>
      <c r="S36" s="41" t="str">
        <f t="shared" si="14"/>
        <v>8 payments of</v>
      </c>
      <c r="T36" s="177">
        <f t="shared" si="15"/>
        <v>15937.556305260747</v>
      </c>
      <c r="U36" s="81">
        <f t="shared" si="8"/>
        <v>8</v>
      </c>
      <c r="V36" s="41" t="str">
        <f t="shared" si="16"/>
        <v>8 payments of</v>
      </c>
      <c r="W36" s="177">
        <f t="shared" si="17"/>
        <v>18228.153900598831</v>
      </c>
    </row>
    <row r="37" spans="1:23" ht="15.65" customHeight="1" x14ac:dyDescent="0.35">
      <c r="A37" s="78">
        <f t="shared" si="18"/>
        <v>18</v>
      </c>
      <c r="B37" s="79">
        <f t="shared" si="19"/>
        <v>0</v>
      </c>
      <c r="C37" s="79">
        <f t="shared" si="3"/>
        <v>64133.333333333328</v>
      </c>
      <c r="D37" s="79">
        <f t="shared" si="3"/>
        <v>73466.666666666672</v>
      </c>
      <c r="E37" s="79">
        <f t="shared" si="3"/>
        <v>81400</v>
      </c>
      <c r="F37" s="79">
        <f t="shared" si="3"/>
        <v>96986.666666666672</v>
      </c>
      <c r="G37" s="239">
        <v>0</v>
      </c>
      <c r="H37" s="80">
        <f t="shared" si="20"/>
        <v>18</v>
      </c>
      <c r="I37" s="81">
        <f t="shared" si="9"/>
        <v>0</v>
      </c>
      <c r="J37" s="40" t="str">
        <f t="shared" si="21"/>
        <v>0 payments of</v>
      </c>
      <c r="K37" s="176">
        <f t="shared" si="10"/>
        <v>0</v>
      </c>
      <c r="L37" s="81">
        <f t="shared" si="4"/>
        <v>7</v>
      </c>
      <c r="M37" s="40" t="str">
        <f t="shared" si="23"/>
        <v>7 payments of</v>
      </c>
      <c r="N37" s="177">
        <f t="shared" si="11"/>
        <v>12055.482773742764</v>
      </c>
      <c r="O37" s="81">
        <f t="shared" si="6"/>
        <v>7</v>
      </c>
      <c r="P37" s="40" t="str">
        <f t="shared" si="22"/>
        <v>7 payments of</v>
      </c>
      <c r="Q37" s="177">
        <f t="shared" si="12"/>
        <v>13858.594647596623</v>
      </c>
      <c r="R37" s="81">
        <f t="shared" si="13"/>
        <v>7</v>
      </c>
      <c r="S37" s="41" t="str">
        <f t="shared" si="14"/>
        <v>7 payments of</v>
      </c>
      <c r="T37" s="177">
        <f t="shared" si="15"/>
        <v>15391.239740372401</v>
      </c>
      <c r="U37" s="81">
        <f t="shared" si="8"/>
        <v>7</v>
      </c>
      <c r="V37" s="41" t="str">
        <f t="shared" si="16"/>
        <v>7 payments of</v>
      </c>
      <c r="W37" s="177">
        <f t="shared" si="17"/>
        <v>17622.002664317948</v>
      </c>
    </row>
    <row r="38" spans="1:23" ht="15.65" customHeight="1" x14ac:dyDescent="0.35">
      <c r="A38" s="78">
        <f t="shared" si="18"/>
        <v>19</v>
      </c>
      <c r="B38" s="79">
        <f t="shared" si="19"/>
        <v>0</v>
      </c>
      <c r="C38" s="79">
        <f t="shared" si="3"/>
        <v>55400</v>
      </c>
      <c r="D38" s="79">
        <f t="shared" si="3"/>
        <v>63400</v>
      </c>
      <c r="E38" s="79">
        <f t="shared" si="3"/>
        <v>70200</v>
      </c>
      <c r="F38" s="79">
        <f t="shared" si="3"/>
        <v>84560</v>
      </c>
      <c r="G38" s="239">
        <v>0</v>
      </c>
      <c r="H38" s="80">
        <f t="shared" si="20"/>
        <v>19</v>
      </c>
      <c r="I38" s="81">
        <f t="shared" si="9"/>
        <v>0</v>
      </c>
      <c r="J38" s="40" t="str">
        <f t="shared" si="21"/>
        <v>0 payments of</v>
      </c>
      <c r="K38" s="176">
        <f t="shared" si="10"/>
        <v>0</v>
      </c>
      <c r="L38" s="81">
        <f t="shared" si="4"/>
        <v>6</v>
      </c>
      <c r="M38" s="40" t="str">
        <f t="shared" si="23"/>
        <v>6 payments of</v>
      </c>
      <c r="N38" s="177">
        <f t="shared" si="11"/>
        <v>11638.546996868759</v>
      </c>
      <c r="O38" s="81">
        <f t="shared" si="6"/>
        <v>6</v>
      </c>
      <c r="P38" s="40" t="str">
        <f t="shared" si="22"/>
        <v>6 payments of</v>
      </c>
      <c r="Q38" s="177">
        <f t="shared" si="12"/>
        <v>13378.004553642617</v>
      </c>
      <c r="R38" s="81">
        <f t="shared" si="13"/>
        <v>6</v>
      </c>
      <c r="S38" s="41" t="str">
        <f t="shared" si="14"/>
        <v>6 payments of</v>
      </c>
      <c r="T38" s="177">
        <f>IF(R38&gt;0,PMT(E$14,R38,-E38,E$9),0)+G38</f>
        <v>14856.543476900395</v>
      </c>
      <c r="U38" s="81">
        <f t="shared" si="8"/>
        <v>6</v>
      </c>
      <c r="V38" s="41" t="str">
        <f t="shared" si="16"/>
        <v>6 payments of</v>
      </c>
      <c r="W38" s="177">
        <f t="shared" si="17"/>
        <v>17028.744429132345</v>
      </c>
    </row>
    <row r="39" spans="1:23" ht="15.65" customHeight="1" x14ac:dyDescent="0.35">
      <c r="A39" s="78">
        <f t="shared" si="18"/>
        <v>20</v>
      </c>
      <c r="B39" s="79">
        <f t="shared" si="19"/>
        <v>0</v>
      </c>
      <c r="C39" s="79">
        <f t="shared" si="3"/>
        <v>46666.666666666657</v>
      </c>
      <c r="D39" s="79">
        <f t="shared" si="3"/>
        <v>53333.333333333343</v>
      </c>
      <c r="E39" s="79">
        <f t="shared" si="3"/>
        <v>59000</v>
      </c>
      <c r="F39" s="79">
        <f t="shared" si="3"/>
        <v>72133.333333333343</v>
      </c>
      <c r="G39" s="239">
        <v>0</v>
      </c>
      <c r="H39" s="80">
        <f t="shared" si="20"/>
        <v>20</v>
      </c>
      <c r="I39" s="81">
        <f t="shared" si="9"/>
        <v>0</v>
      </c>
      <c r="J39" s="40" t="str">
        <f t="shared" si="21"/>
        <v>0 payments of</v>
      </c>
      <c r="K39" s="176">
        <f t="shared" si="10"/>
        <v>0</v>
      </c>
      <c r="L39" s="81">
        <f t="shared" si="4"/>
        <v>5</v>
      </c>
      <c r="M39" s="40" t="str">
        <f t="shared" si="23"/>
        <v>5 payments of</v>
      </c>
      <c r="N39" s="177">
        <f>IF(L39&gt;0,PMT(C$14,L39,-C39,C$9),0)+G39</f>
        <v>11230.744848389486</v>
      </c>
      <c r="O39" s="81">
        <f t="shared" si="6"/>
        <v>5</v>
      </c>
      <c r="P39" s="40" t="str">
        <f t="shared" si="22"/>
        <v>5 payments of</v>
      </c>
      <c r="Q39" s="177">
        <f>IF(O39&gt;0,PMT(D$14,O39,-D39,D$9),0)+G39</f>
        <v>12907.942535166514</v>
      </c>
      <c r="R39" s="81">
        <f t="shared" si="13"/>
        <v>5</v>
      </c>
      <c r="S39" s="41" t="str">
        <f t="shared" si="14"/>
        <v>5 payments of</v>
      </c>
      <c r="T39" s="177">
        <f>IF(R39&gt;0,PMT(E$14,R39,-E39,E$9),0)+G39</f>
        <v>14333.560568926976</v>
      </c>
      <c r="U39" s="81">
        <f t="shared" si="8"/>
        <v>5</v>
      </c>
      <c r="V39" s="41" t="str">
        <f t="shared" si="16"/>
        <v>5 payments of</v>
      </c>
      <c r="W39" s="177">
        <f t="shared" si="17"/>
        <v>16448.48244076184</v>
      </c>
    </row>
    <row r="40" spans="1:23" ht="15.65" customHeight="1" x14ac:dyDescent="0.35">
      <c r="A40" s="78">
        <f>A39+1</f>
        <v>21</v>
      </c>
      <c r="B40" s="79">
        <f t="shared" si="19"/>
        <v>0</v>
      </c>
      <c r="C40" s="225">
        <f t="shared" si="3"/>
        <v>37933.333333333328</v>
      </c>
      <c r="D40" s="225">
        <f t="shared" si="3"/>
        <v>43266.666666666672</v>
      </c>
      <c r="E40" s="225">
        <f t="shared" si="3"/>
        <v>47800</v>
      </c>
      <c r="F40" s="225">
        <f t="shared" si="3"/>
        <v>59706.666666666686</v>
      </c>
      <c r="G40" s="239">
        <v>0</v>
      </c>
      <c r="H40" s="80">
        <f t="shared" si="20"/>
        <v>21</v>
      </c>
      <c r="I40" s="197">
        <f t="shared" si="9"/>
        <v>0</v>
      </c>
      <c r="J40" s="198" t="str">
        <f t="shared" si="21"/>
        <v>0 payments of</v>
      </c>
      <c r="K40" s="176">
        <f t="shared" si="10"/>
        <v>0</v>
      </c>
      <c r="L40" s="227">
        <v>4</v>
      </c>
      <c r="M40" s="228" t="str">
        <f t="shared" si="23"/>
        <v>4 payments of</v>
      </c>
      <c r="N40" s="229">
        <f t="shared" si="11"/>
        <v>10832.138265774298</v>
      </c>
      <c r="O40" s="227">
        <v>4</v>
      </c>
      <c r="P40" s="228" t="str">
        <f t="shared" si="22"/>
        <v>4 payments of</v>
      </c>
      <c r="Q40" s="229">
        <f>IF(O40&gt;0,PMT(D$14,O40,-D40,D$9),0)+G40</f>
        <v>12448.479985739845</v>
      </c>
      <c r="R40" s="227">
        <v>4</v>
      </c>
      <c r="S40" s="230" t="str">
        <f t="shared" si="14"/>
        <v>4 payments of</v>
      </c>
      <c r="T40" s="229">
        <f t="shared" si="15"/>
        <v>13822.370447710553</v>
      </c>
      <c r="U40" s="81">
        <f t="shared" si="8"/>
        <v>4</v>
      </c>
      <c r="V40" s="41" t="str">
        <f t="shared" si="16"/>
        <v>4 payments of</v>
      </c>
      <c r="W40" s="177">
        <f t="shared" si="17"/>
        <v>15881.304830078858</v>
      </c>
    </row>
    <row r="41" spans="1:23" ht="15.65" customHeight="1" x14ac:dyDescent="0.35">
      <c r="A41" s="78">
        <f t="shared" si="18"/>
        <v>22</v>
      </c>
      <c r="B41" s="79">
        <f t="shared" si="19"/>
        <v>0</v>
      </c>
      <c r="C41" s="225">
        <f t="shared" si="3"/>
        <v>29200</v>
      </c>
      <c r="D41" s="225">
        <f t="shared" si="3"/>
        <v>33200</v>
      </c>
      <c r="E41" s="225">
        <f t="shared" si="3"/>
        <v>36600</v>
      </c>
      <c r="F41" s="225">
        <f t="shared" si="3"/>
        <v>47280</v>
      </c>
      <c r="G41" s="239">
        <v>0</v>
      </c>
      <c r="H41" s="80">
        <f t="shared" si="20"/>
        <v>22</v>
      </c>
      <c r="I41" s="197">
        <f t="shared" si="9"/>
        <v>0</v>
      </c>
      <c r="J41" s="198" t="str">
        <f t="shared" si="21"/>
        <v>0 payments of</v>
      </c>
      <c r="K41" s="176">
        <f t="shared" si="10"/>
        <v>0</v>
      </c>
      <c r="L41" s="227">
        <v>3</v>
      </c>
      <c r="M41" s="228" t="str">
        <f t="shared" si="23"/>
        <v>3 payments of</v>
      </c>
      <c r="N41" s="229">
        <f t="shared" si="11"/>
        <v>10442.778297171611</v>
      </c>
      <c r="O41" s="227">
        <v>3</v>
      </c>
      <c r="P41" s="228" t="str">
        <f t="shared" si="22"/>
        <v>3 payments of</v>
      </c>
      <c r="Q41" s="229">
        <f t="shared" si="12"/>
        <v>11999.675747121475</v>
      </c>
      <c r="R41" s="227">
        <v>3</v>
      </c>
      <c r="S41" s="230" t="str">
        <f t="shared" si="14"/>
        <v>3 payments of</v>
      </c>
      <c r="T41" s="229">
        <f t="shared" si="15"/>
        <v>13323.038579578861</v>
      </c>
      <c r="U41" s="81">
        <f t="shared" si="8"/>
        <v>3</v>
      </c>
      <c r="V41" s="41" t="str">
        <f t="shared" si="16"/>
        <v>3 payments of</v>
      </c>
      <c r="W41" s="177">
        <f t="shared" si="17"/>
        <v>15327.284233532737</v>
      </c>
    </row>
    <row r="42" spans="1:23" ht="15.65" customHeight="1" x14ac:dyDescent="0.35">
      <c r="A42" s="78">
        <f t="shared" si="18"/>
        <v>23</v>
      </c>
      <c r="B42" s="79">
        <f t="shared" si="19"/>
        <v>0</v>
      </c>
      <c r="C42" s="225">
        <f t="shared" si="3"/>
        <v>20466.666666666657</v>
      </c>
      <c r="D42" s="225">
        <f t="shared" si="3"/>
        <v>23133.333333333343</v>
      </c>
      <c r="E42" s="225">
        <f t="shared" si="3"/>
        <v>25400</v>
      </c>
      <c r="F42" s="225">
        <f t="shared" si="3"/>
        <v>34853.333333333343</v>
      </c>
      <c r="G42" s="239">
        <v>0</v>
      </c>
      <c r="H42" s="80">
        <f t="shared" si="20"/>
        <v>23</v>
      </c>
      <c r="I42" s="197">
        <f t="shared" si="9"/>
        <v>0</v>
      </c>
      <c r="J42" s="198" t="str">
        <f t="shared" si="21"/>
        <v>0 payments of</v>
      </c>
      <c r="K42" s="176">
        <f t="shared" si="10"/>
        <v>0</v>
      </c>
      <c r="L42" s="227">
        <v>2</v>
      </c>
      <c r="M42" s="228" t="str">
        <f t="shared" si="23"/>
        <v>2 payments of</v>
      </c>
      <c r="N42" s="229">
        <f t="shared" si="11"/>
        <v>10062.704879985906</v>
      </c>
      <c r="O42" s="227">
        <v>2</v>
      </c>
      <c r="P42" s="228" t="str">
        <f t="shared" si="22"/>
        <v>2 payments of</v>
      </c>
      <c r="Q42" s="229">
        <f t="shared" si="12"/>
        <v>11561.575854029568</v>
      </c>
      <c r="R42" s="227">
        <v>2</v>
      </c>
      <c r="S42" s="230" t="str">
        <f t="shared" si="14"/>
        <v>2 payments of</v>
      </c>
      <c r="T42" s="229">
        <f t="shared" si="15"/>
        <v>12835.616181966665</v>
      </c>
      <c r="U42" s="81">
        <f t="shared" si="8"/>
        <v>2</v>
      </c>
      <c r="V42" s="41" t="str">
        <f t="shared" si="16"/>
        <v>2 payments of</v>
      </c>
      <c r="W42" s="177">
        <f t="shared" si="17"/>
        <v>14786.477478086828</v>
      </c>
    </row>
    <row r="43" spans="1:23" ht="15.65" customHeight="1" x14ac:dyDescent="0.35">
      <c r="A43" s="78">
        <f t="shared" si="18"/>
        <v>24</v>
      </c>
      <c r="B43" s="79">
        <f t="shared" si="19"/>
        <v>0</v>
      </c>
      <c r="C43" s="225">
        <f t="shared" si="3"/>
        <v>11733.333333333328</v>
      </c>
      <c r="D43" s="225">
        <f t="shared" si="3"/>
        <v>13066.666666666686</v>
      </c>
      <c r="E43" s="225">
        <f t="shared" si="3"/>
        <v>14200</v>
      </c>
      <c r="F43" s="225">
        <f t="shared" si="3"/>
        <v>22426.666666666686</v>
      </c>
      <c r="G43" s="239">
        <v>0</v>
      </c>
      <c r="H43" s="80">
        <f t="shared" si="20"/>
        <v>24</v>
      </c>
      <c r="I43" s="197">
        <f t="shared" si="9"/>
        <v>0</v>
      </c>
      <c r="J43" s="198" t="str">
        <f t="shared" si="21"/>
        <v>0 payments of</v>
      </c>
      <c r="K43" s="176">
        <f t="shared" si="10"/>
        <v>0</v>
      </c>
      <c r="L43" s="227">
        <v>1</v>
      </c>
      <c r="M43" s="228" t="str">
        <f t="shared" si="23"/>
        <v>1 payments of</v>
      </c>
      <c r="N43" s="229">
        <f t="shared" si="11"/>
        <v>9691.9466666666631</v>
      </c>
      <c r="O43" s="227">
        <v>1</v>
      </c>
      <c r="P43" s="228" t="str">
        <f t="shared" si="22"/>
        <v>1 payments of</v>
      </c>
      <c r="Q43" s="229">
        <f t="shared" si="12"/>
        <v>11134.213333333357</v>
      </c>
      <c r="R43" s="227">
        <v>1</v>
      </c>
      <c r="S43" s="230" t="str">
        <f>CONCATENATE(IF((R43)&lt;0,0,(R43))," payments of")</f>
        <v>1 payments of</v>
      </c>
      <c r="T43" s="229">
        <f t="shared" si="15"/>
        <v>12360.140000000003</v>
      </c>
      <c r="U43" s="81">
        <f t="shared" si="8"/>
        <v>1</v>
      </c>
      <c r="V43" s="41" t="str">
        <f t="shared" si="16"/>
        <v>1 payments of</v>
      </c>
      <c r="W43" s="177">
        <f t="shared" si="17"/>
        <v>14258.925333333358</v>
      </c>
    </row>
    <row r="44" spans="1:23" ht="15.65" customHeight="1" x14ac:dyDescent="0.35">
      <c r="A44" s="83">
        <f t="shared" si="18"/>
        <v>25</v>
      </c>
      <c r="B44" s="79">
        <f t="shared" si="19"/>
        <v>0</v>
      </c>
      <c r="C44" s="225">
        <f t="shared" si="3"/>
        <v>2999.9999999999854</v>
      </c>
      <c r="D44" s="225">
        <f t="shared" si="3"/>
        <v>3000</v>
      </c>
      <c r="E44" s="225">
        <f t="shared" si="3"/>
        <v>3000</v>
      </c>
      <c r="F44" s="226">
        <f t="shared" si="3"/>
        <v>10000</v>
      </c>
      <c r="G44" s="239">
        <v>0</v>
      </c>
      <c r="H44" s="80">
        <f t="shared" si="20"/>
        <v>25</v>
      </c>
      <c r="I44" s="197">
        <f t="shared" si="9"/>
        <v>0</v>
      </c>
      <c r="J44" s="198" t="str">
        <f t="shared" si="21"/>
        <v>0 payments of</v>
      </c>
      <c r="K44" s="176">
        <f t="shared" si="10"/>
        <v>0</v>
      </c>
      <c r="L44" s="227">
        <f t="shared" si="4"/>
        <v>0</v>
      </c>
      <c r="M44" s="228" t="str">
        <f t="shared" si="23"/>
        <v>0 payments of</v>
      </c>
      <c r="N44" s="229">
        <f t="shared" si="11"/>
        <v>0</v>
      </c>
      <c r="O44" s="227"/>
      <c r="P44" s="228" t="str">
        <f t="shared" si="22"/>
        <v xml:space="preserve"> payments of</v>
      </c>
      <c r="Q44" s="229">
        <f t="shared" si="12"/>
        <v>0</v>
      </c>
      <c r="R44" s="227"/>
      <c r="S44" s="230" t="str">
        <f t="shared" si="14"/>
        <v xml:space="preserve"> payments of</v>
      </c>
      <c r="T44" s="229">
        <f t="shared" si="15"/>
        <v>0</v>
      </c>
      <c r="U44" s="81">
        <f t="shared" si="8"/>
        <v>0</v>
      </c>
      <c r="V44" s="84" t="str">
        <f t="shared" si="16"/>
        <v>0 payments of</v>
      </c>
      <c r="W44" s="177">
        <f t="shared" si="17"/>
        <v>0</v>
      </c>
    </row>
    <row r="45" spans="1:23" ht="15.65" customHeight="1" x14ac:dyDescent="0.35">
      <c r="A45" s="39"/>
      <c r="B45" s="42"/>
      <c r="C45" s="42"/>
      <c r="D45" s="42"/>
      <c r="E45" s="42"/>
      <c r="F45" s="42"/>
      <c r="G45" s="42"/>
      <c r="H45" s="85"/>
      <c r="I45" s="39"/>
      <c r="L45" s="86"/>
      <c r="M45" s="73"/>
      <c r="N45" s="73"/>
      <c r="O45" s="73"/>
      <c r="P45" s="73"/>
      <c r="Q45" s="73"/>
      <c r="R45" s="73"/>
    </row>
    <row r="46" spans="1:23" ht="15.65" customHeight="1" x14ac:dyDescent="0.35">
      <c r="A46" s="39"/>
      <c r="B46" s="42"/>
      <c r="C46" s="42"/>
      <c r="D46" s="42"/>
      <c r="E46" s="42"/>
      <c r="F46" s="42"/>
      <c r="G46" s="42"/>
      <c r="H46" s="85"/>
      <c r="I46" s="39"/>
      <c r="J46" s="87"/>
      <c r="K46" s="87"/>
      <c r="L46" s="87"/>
    </row>
    <row r="47" spans="1:23" ht="15.65" customHeight="1" thickBot="1" x14ac:dyDescent="0.4">
      <c r="A47" s="39"/>
      <c r="B47" s="42"/>
      <c r="C47" s="42"/>
      <c r="D47" s="42"/>
      <c r="E47" s="42"/>
      <c r="F47" s="42"/>
      <c r="G47" s="42"/>
    </row>
    <row r="48" spans="1:23" ht="15.65" customHeight="1" x14ac:dyDescent="0.35">
      <c r="A48" s="193" t="s">
        <v>161</v>
      </c>
      <c r="B48" s="182"/>
      <c r="C48" s="182"/>
      <c r="D48" s="182"/>
      <c r="E48" s="182"/>
      <c r="F48" s="182"/>
      <c r="G48" s="182"/>
      <c r="H48" s="183"/>
      <c r="I48" s="183"/>
      <c r="J48" s="184"/>
      <c r="K48" s="184"/>
      <c r="L48" s="184"/>
      <c r="M48" s="183"/>
      <c r="N48" s="183"/>
      <c r="O48" s="183"/>
      <c r="P48" s="183"/>
      <c r="Q48" s="183"/>
      <c r="R48" s="183"/>
      <c r="S48" s="183"/>
      <c r="T48" s="183"/>
      <c r="U48" s="183"/>
      <c r="V48" s="183"/>
      <c r="W48" s="185"/>
    </row>
    <row r="49" spans="1:23" ht="15.65" customHeight="1" x14ac:dyDescent="0.35">
      <c r="A49" s="186"/>
      <c r="B49" s="42"/>
      <c r="C49" s="42" t="s">
        <v>106</v>
      </c>
      <c r="D49" s="42" t="s">
        <v>91</v>
      </c>
      <c r="E49" s="42" t="s">
        <v>107</v>
      </c>
      <c r="F49" s="42"/>
      <c r="G49" s="42"/>
      <c r="H49" s="39"/>
      <c r="I49" s="39"/>
      <c r="J49" s="187"/>
      <c r="K49" s="187"/>
      <c r="L49" s="187"/>
      <c r="M49" s="39"/>
      <c r="N49" s="39" t="s">
        <v>106</v>
      </c>
      <c r="O49" s="39"/>
      <c r="P49" s="39"/>
      <c r="Q49" s="39" t="s">
        <v>91</v>
      </c>
      <c r="R49" s="39"/>
      <c r="S49" s="39"/>
      <c r="T49" s="39" t="s">
        <v>107</v>
      </c>
      <c r="U49" s="39"/>
      <c r="V49" s="39"/>
      <c r="W49" s="188"/>
    </row>
    <row r="50" spans="1:23" ht="15.65" customHeight="1" x14ac:dyDescent="0.35">
      <c r="A50" s="199" t="s">
        <v>156</v>
      </c>
      <c r="B50" s="200"/>
      <c r="C50" s="200">
        <f>IF($H50&lt;=C$3,C$8,IF($H50&lt;=C$5,(C$8-(C$8-C$9)/($C$5-$C$3)*($H50-C$3)),0))</f>
        <v>37933.333333333328</v>
      </c>
      <c r="D50" s="200">
        <f>IF($H50&lt;=D$3,D$8,IF($H50&lt;=D$5,(D$8-(D$8-D$9)/($D$5-$D$3)*($H50-D$3)),0))</f>
        <v>43266.666666666672</v>
      </c>
      <c r="E50" s="200">
        <f>IF($H50&lt;=E$3,E$8,IF($H50&lt;=E$5,(E$8-(E$8-E$9)/($E$5-$E$3)*($H50-E$3)),0))</f>
        <v>47800</v>
      </c>
      <c r="F50" s="200"/>
      <c r="G50" s="200">
        <v>0</v>
      </c>
      <c r="H50" s="201">
        <v>21</v>
      </c>
      <c r="I50" s="201">
        <v>0</v>
      </c>
      <c r="J50" s="202" t="s">
        <v>153</v>
      </c>
      <c r="K50" s="202"/>
      <c r="L50" s="202">
        <v>4</v>
      </c>
      <c r="M50" s="201"/>
      <c r="N50" s="203">
        <f>IF(L50&gt;0,PMT(C$14,L50,-C50,C$9),0)+G50</f>
        <v>10832.138265774298</v>
      </c>
      <c r="O50" s="202">
        <v>4</v>
      </c>
      <c r="P50" s="203"/>
      <c r="Q50" s="203">
        <f>IF(O50&gt;0,PMT(D$14,O50,-D50,D$9),0)+G50</f>
        <v>12448.479985739845</v>
      </c>
      <c r="R50" s="202">
        <v>4</v>
      </c>
      <c r="S50" s="203"/>
      <c r="T50" s="203">
        <f>IF(R50&gt;0,PMT(E$14,R50,-E50,E$9),0)+G50</f>
        <v>13822.370447710553</v>
      </c>
      <c r="U50" s="39"/>
      <c r="V50" s="39"/>
      <c r="W50" s="188"/>
    </row>
    <row r="51" spans="1:23" ht="15.65" customHeight="1" x14ac:dyDescent="0.35">
      <c r="A51" s="199" t="s">
        <v>157</v>
      </c>
      <c r="B51" s="200"/>
      <c r="C51" s="200">
        <f t="shared" ref="C51:C54" si="24">IF($H51&lt;=C$3,C$8,IF($H51&lt;=C$5,(C$8-(C$8-C$9)/($C$5-$C$3)*($H51-C$3)),0))</f>
        <v>29200</v>
      </c>
      <c r="D51" s="200">
        <f t="shared" ref="D51:D54" si="25">IF($H51&lt;=D$3,D$8,IF($H51&lt;=D$5,(D$8-(D$8-D$9)/($D$5-$D$3)*($H51-D$3)),0))</f>
        <v>33200</v>
      </c>
      <c r="E51" s="200">
        <f t="shared" ref="E51:E54" si="26">IF($H51&lt;=E$3,E$8,IF($H51&lt;=E$5,(E$8-(E$8-E$9)/($E$5-$E$3)*($H51-E$3)),0))</f>
        <v>36600</v>
      </c>
      <c r="F51" s="200"/>
      <c r="G51" s="200">
        <v>0</v>
      </c>
      <c r="H51" s="201">
        <v>22</v>
      </c>
      <c r="I51" s="201">
        <v>0</v>
      </c>
      <c r="J51" s="202" t="s">
        <v>153</v>
      </c>
      <c r="K51" s="202"/>
      <c r="L51" s="202">
        <v>3</v>
      </c>
      <c r="M51" s="201"/>
      <c r="N51" s="203">
        <f t="shared" ref="N51:N54" si="27">IF(L51&gt;0,PMT(C$14,L51,-C51,C$9),0)+G51</f>
        <v>10442.778297171611</v>
      </c>
      <c r="O51" s="202">
        <v>3</v>
      </c>
      <c r="P51" s="203"/>
      <c r="Q51" s="203">
        <f t="shared" ref="Q51:Q54" si="28">IF(O51&gt;0,PMT(D$14,O51,-D51,D$9),0)+G51</f>
        <v>11999.675747121475</v>
      </c>
      <c r="R51" s="202">
        <v>3</v>
      </c>
      <c r="S51" s="203"/>
      <c r="T51" s="203">
        <f t="shared" ref="T51:T54" si="29">IF(R51&gt;0,PMT(E$14,R51,-E51,E$9),0)+G51</f>
        <v>13323.038579578861</v>
      </c>
      <c r="U51" s="39"/>
      <c r="V51" s="39"/>
      <c r="W51" s="188"/>
    </row>
    <row r="52" spans="1:23" ht="15.65" customHeight="1" x14ac:dyDescent="0.35">
      <c r="A52" s="199" t="s">
        <v>158</v>
      </c>
      <c r="B52" s="200"/>
      <c r="C52" s="200">
        <f t="shared" si="24"/>
        <v>20466.666666666657</v>
      </c>
      <c r="D52" s="200">
        <f t="shared" si="25"/>
        <v>23133.333333333343</v>
      </c>
      <c r="E52" s="200">
        <f t="shared" si="26"/>
        <v>25400</v>
      </c>
      <c r="F52" s="200"/>
      <c r="G52" s="200">
        <v>0</v>
      </c>
      <c r="H52" s="201">
        <v>23</v>
      </c>
      <c r="I52" s="201"/>
      <c r="J52" s="202"/>
      <c r="K52" s="202"/>
      <c r="L52" s="202">
        <v>2</v>
      </c>
      <c r="M52" s="201"/>
      <c r="N52" s="203">
        <f t="shared" si="27"/>
        <v>10062.704879985906</v>
      </c>
      <c r="O52" s="202">
        <v>2</v>
      </c>
      <c r="P52" s="203"/>
      <c r="Q52" s="203">
        <f t="shared" si="28"/>
        <v>11561.575854029568</v>
      </c>
      <c r="R52" s="202">
        <v>2</v>
      </c>
      <c r="S52" s="203"/>
      <c r="T52" s="203">
        <f t="shared" si="29"/>
        <v>12835.616181966665</v>
      </c>
      <c r="U52" s="39"/>
      <c r="V52" s="39"/>
      <c r="W52" s="188"/>
    </row>
    <row r="53" spans="1:23" x14ac:dyDescent="0.35">
      <c r="A53" s="199" t="s">
        <v>159</v>
      </c>
      <c r="B53" s="201"/>
      <c r="C53" s="200">
        <f t="shared" si="24"/>
        <v>11733.333333333328</v>
      </c>
      <c r="D53" s="200">
        <f t="shared" si="25"/>
        <v>13066.666666666686</v>
      </c>
      <c r="E53" s="200">
        <f t="shared" si="26"/>
        <v>14200</v>
      </c>
      <c r="F53" s="201"/>
      <c r="G53" s="200">
        <v>0</v>
      </c>
      <c r="H53" s="201">
        <v>24</v>
      </c>
      <c r="I53" s="201"/>
      <c r="J53" s="202"/>
      <c r="K53" s="202"/>
      <c r="L53" s="202">
        <v>1</v>
      </c>
      <c r="M53" s="201"/>
      <c r="N53" s="203">
        <f t="shared" si="27"/>
        <v>9691.9466666666631</v>
      </c>
      <c r="O53" s="202">
        <v>1</v>
      </c>
      <c r="P53" s="203"/>
      <c r="Q53" s="203">
        <f t="shared" si="28"/>
        <v>11134.213333333357</v>
      </c>
      <c r="R53" s="202">
        <v>1</v>
      </c>
      <c r="S53" s="203"/>
      <c r="T53" s="203">
        <f t="shared" si="29"/>
        <v>12360.140000000003</v>
      </c>
      <c r="U53" s="39"/>
      <c r="V53" s="39"/>
      <c r="W53" s="188"/>
    </row>
    <row r="54" spans="1:23" x14ac:dyDescent="0.35">
      <c r="A54" s="199" t="s">
        <v>160</v>
      </c>
      <c r="B54" s="201"/>
      <c r="C54" s="200">
        <f t="shared" si="24"/>
        <v>2999.9999999999854</v>
      </c>
      <c r="D54" s="200">
        <f t="shared" si="25"/>
        <v>3000</v>
      </c>
      <c r="E54" s="200">
        <f t="shared" si="26"/>
        <v>3000</v>
      </c>
      <c r="F54" s="201"/>
      <c r="G54" s="200">
        <v>0</v>
      </c>
      <c r="H54" s="201">
        <v>25</v>
      </c>
      <c r="I54" s="201"/>
      <c r="J54" s="202"/>
      <c r="K54" s="202"/>
      <c r="L54" s="202">
        <v>0</v>
      </c>
      <c r="M54" s="201"/>
      <c r="N54" s="203">
        <f t="shared" si="27"/>
        <v>0</v>
      </c>
      <c r="O54" s="202">
        <v>0</v>
      </c>
      <c r="P54" s="203"/>
      <c r="Q54" s="203">
        <f t="shared" si="28"/>
        <v>0</v>
      </c>
      <c r="R54" s="202">
        <v>0</v>
      </c>
      <c r="S54" s="203"/>
      <c r="T54" s="203">
        <f t="shared" si="29"/>
        <v>0</v>
      </c>
      <c r="U54" s="39"/>
      <c r="V54" s="39"/>
      <c r="W54" s="188"/>
    </row>
    <row r="55" spans="1:23" ht="16" thickBot="1" x14ac:dyDescent="0.4">
      <c r="A55" s="189"/>
      <c r="B55" s="190"/>
      <c r="C55" s="190"/>
      <c r="D55" s="190"/>
      <c r="E55" s="190"/>
      <c r="F55" s="190"/>
      <c r="G55" s="190"/>
      <c r="H55" s="190"/>
      <c r="I55" s="190"/>
      <c r="J55" s="191"/>
      <c r="K55" s="191"/>
      <c r="L55" s="191"/>
      <c r="M55" s="190"/>
      <c r="N55" s="190"/>
      <c r="O55" s="190"/>
      <c r="P55" s="190"/>
      <c r="Q55" s="190"/>
      <c r="R55" s="190"/>
      <c r="S55" s="190"/>
      <c r="T55" s="190"/>
      <c r="U55" s="190"/>
      <c r="V55" s="190"/>
      <c r="W55" s="192"/>
    </row>
    <row r="63" spans="1:23" s="88" customFormat="1" ht="15.65" customHeight="1" x14ac:dyDescent="0.35">
      <c r="J63" s="89"/>
      <c r="K63" s="89"/>
      <c r="L63" s="89"/>
    </row>
    <row r="77" spans="8:12" ht="15.65" customHeight="1" x14ac:dyDescent="0.35">
      <c r="H77" s="85"/>
      <c r="I77" s="39"/>
      <c r="J77" s="87"/>
      <c r="K77" s="87"/>
      <c r="L77" s="87"/>
    </row>
    <row r="78" spans="8:12" ht="15.65" customHeight="1" x14ac:dyDescent="0.35">
      <c r="H78" s="85"/>
      <c r="I78" s="39"/>
      <c r="J78" s="87"/>
      <c r="K78" s="87"/>
      <c r="L78" s="87"/>
    </row>
    <row r="79" spans="8:12" ht="15.65" customHeight="1" x14ac:dyDescent="0.35">
      <c r="H79" s="85"/>
      <c r="I79" s="39"/>
      <c r="J79" s="87"/>
      <c r="K79" s="87"/>
      <c r="L79" s="87"/>
    </row>
    <row r="80" spans="8:12" ht="15.65" customHeight="1" x14ac:dyDescent="0.35">
      <c r="H80" s="85"/>
      <c r="I80" s="39"/>
      <c r="J80" s="87"/>
      <c r="K80" s="87"/>
      <c r="L80" s="87"/>
    </row>
    <row r="81" spans="8:12" ht="15.65" customHeight="1" x14ac:dyDescent="0.35">
      <c r="H81" s="85"/>
      <c r="I81" s="39"/>
      <c r="J81" s="87"/>
      <c r="K81" s="87"/>
      <c r="L81" s="87"/>
    </row>
    <row r="82" spans="8:12" ht="15.65" customHeight="1" x14ac:dyDescent="0.35">
      <c r="H82" s="85"/>
      <c r="I82" s="39"/>
      <c r="J82" s="87"/>
      <c r="K82" s="87"/>
      <c r="L82" s="87"/>
    </row>
    <row r="83" spans="8:12" ht="15.65" customHeight="1" x14ac:dyDescent="0.35">
      <c r="H83" s="85"/>
      <c r="I83" s="39"/>
      <c r="J83" s="87"/>
      <c r="K83" s="87"/>
      <c r="L83" s="87"/>
    </row>
    <row r="84" spans="8:12" ht="15.65" customHeight="1" x14ac:dyDescent="0.35">
      <c r="H84" s="85"/>
      <c r="I84" s="39"/>
      <c r="J84" s="87"/>
      <c r="K84" s="87"/>
      <c r="L84" s="87"/>
    </row>
  </sheetData>
  <sheetProtection algorithmName="SHA-512" hashValue="2db1+HdMeeoi6GPbM6a6E30yrh8+5lJToW6GFcNCKzHpF6cItMQCEavGKq8Ip9mzu5t9Q3Tt4DpGDuO5w6a0Rg==" saltValue="PXEIV11CZYaX9fC9bL+ADw==" spinCount="100000" sheet="1" objects="1" scenarios="1" selectLockedCells="1"/>
  <mergeCells count="1">
    <mergeCell ref="B17:F17"/>
  </mergeCells>
  <pageMargins left="0.7" right="0.7" top="0.75" bottom="0.75" header="0.3" footer="0.3"/>
  <pageSetup paperSize="9" orientation="portrait" r:id="rId1"/>
  <customProperties>
    <customPr name="SSC_SHEET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IT78"/>
  <sheetViews>
    <sheetView workbookViewId="0">
      <selection activeCell="I25" sqref="I25"/>
    </sheetView>
  </sheetViews>
  <sheetFormatPr defaultRowHeight="14.5" x14ac:dyDescent="0.35"/>
  <cols>
    <col min="2" max="2" width="46.54296875" customWidth="1"/>
    <col min="3" max="3" width="23.81640625" customWidth="1"/>
    <col min="4" max="4" width="19.26953125" customWidth="1"/>
    <col min="5" max="5" width="17.26953125" customWidth="1"/>
    <col min="6" max="6" width="11.54296875" bestFit="1" customWidth="1"/>
  </cols>
  <sheetData>
    <row r="1" spans="2:254" s="1" customFormat="1" x14ac:dyDescent="0.35">
      <c r="B1" s="14"/>
      <c r="C1" s="1" t="s">
        <v>9</v>
      </c>
      <c r="D1" s="15" t="s">
        <v>10</v>
      </c>
      <c r="J1"/>
      <c r="K1"/>
      <c r="L1"/>
      <c r="M1"/>
      <c r="N1"/>
      <c r="O1"/>
      <c r="P1"/>
      <c r="IT1"/>
    </row>
    <row r="2" spans="2:254" s="1" customFormat="1" x14ac:dyDescent="0.35">
      <c r="B2" s="14" t="s">
        <v>11</v>
      </c>
      <c r="D2" s="2"/>
      <c r="E2" s="4"/>
      <c r="J2"/>
      <c r="K2"/>
      <c r="L2"/>
      <c r="M2"/>
      <c r="N2"/>
      <c r="O2"/>
      <c r="P2"/>
      <c r="IT2"/>
    </row>
    <row r="3" spans="2:254" s="1" customFormat="1" x14ac:dyDescent="0.35">
      <c r="B3" s="1" t="s">
        <v>12</v>
      </c>
      <c r="D3" s="156">
        <v>762.3</v>
      </c>
      <c r="E3" s="4">
        <v>630.29999999999995</v>
      </c>
      <c r="J3"/>
      <c r="K3"/>
      <c r="L3"/>
      <c r="M3"/>
      <c r="N3"/>
      <c r="O3"/>
      <c r="P3"/>
      <c r="IT3"/>
    </row>
    <row r="4" spans="2:254" s="1" customFormat="1" x14ac:dyDescent="0.35">
      <c r="B4" s="1" t="s">
        <v>13</v>
      </c>
      <c r="D4" s="156">
        <v>780</v>
      </c>
      <c r="J4"/>
      <c r="K4"/>
      <c r="L4"/>
      <c r="M4"/>
      <c r="N4"/>
      <c r="O4"/>
      <c r="P4"/>
      <c r="IT4"/>
    </row>
    <row r="5" spans="2:254" s="1" customFormat="1" x14ac:dyDescent="0.35">
      <c r="B5" s="1" t="s">
        <v>14</v>
      </c>
      <c r="C5" s="125">
        <v>1.4999999999999999E-2</v>
      </c>
      <c r="D5" s="156">
        <v>1046</v>
      </c>
      <c r="E5" s="4">
        <v>200000</v>
      </c>
      <c r="J5"/>
      <c r="K5"/>
      <c r="L5"/>
      <c r="M5"/>
      <c r="N5"/>
      <c r="O5"/>
      <c r="P5"/>
      <c r="IT5"/>
    </row>
    <row r="6" spans="2:254" s="1" customFormat="1" x14ac:dyDescent="0.35">
      <c r="B6" s="4" t="s">
        <v>15</v>
      </c>
      <c r="C6" s="1">
        <v>15</v>
      </c>
      <c r="D6" s="156">
        <v>207</v>
      </c>
      <c r="E6" s="4"/>
      <c r="J6"/>
      <c r="K6"/>
      <c r="L6"/>
      <c r="M6"/>
      <c r="N6"/>
      <c r="O6"/>
      <c r="P6"/>
      <c r="IT6"/>
    </row>
    <row r="7" spans="2:254" s="1" customFormat="1" x14ac:dyDescent="0.35">
      <c r="B7" s="4" t="s">
        <v>109</v>
      </c>
      <c r="D7" s="156">
        <v>191.7</v>
      </c>
      <c r="E7" s="1">
        <v>127.8</v>
      </c>
      <c r="J7"/>
      <c r="K7"/>
      <c r="L7"/>
      <c r="M7"/>
      <c r="N7"/>
      <c r="O7"/>
      <c r="P7"/>
      <c r="IT7"/>
    </row>
    <row r="8" spans="2:254" s="1" customFormat="1" x14ac:dyDescent="0.35">
      <c r="B8" s="9" t="s">
        <v>16</v>
      </c>
      <c r="D8" s="156"/>
      <c r="E8" s="18"/>
      <c r="J8"/>
      <c r="K8"/>
      <c r="L8"/>
      <c r="M8"/>
      <c r="N8"/>
      <c r="O8"/>
      <c r="P8"/>
      <c r="IT8"/>
    </row>
    <row r="9" spans="2:254" s="1" customFormat="1" x14ac:dyDescent="0.35">
      <c r="B9" s="4" t="s">
        <v>17</v>
      </c>
      <c r="D9" s="156">
        <v>265</v>
      </c>
      <c r="E9" s="4"/>
      <c r="J9"/>
      <c r="K9"/>
      <c r="L9"/>
      <c r="M9"/>
      <c r="N9"/>
      <c r="O9"/>
      <c r="P9"/>
      <c r="IT9"/>
    </row>
    <row r="10" spans="2:254" s="1" customFormat="1" x14ac:dyDescent="0.35">
      <c r="B10" s="4" t="s">
        <v>172</v>
      </c>
      <c r="D10" s="156">
        <v>500</v>
      </c>
      <c r="E10" s="4"/>
      <c r="J10"/>
      <c r="K10"/>
      <c r="L10"/>
      <c r="M10"/>
      <c r="N10"/>
      <c r="O10"/>
      <c r="P10"/>
      <c r="IT10"/>
    </row>
    <row r="11" spans="2:254" s="1" customFormat="1" x14ac:dyDescent="0.35">
      <c r="B11" s="92" t="s">
        <v>18</v>
      </c>
      <c r="C11" s="46"/>
      <c r="D11" s="157">
        <v>300</v>
      </c>
      <c r="J11"/>
      <c r="K11"/>
      <c r="L11"/>
      <c r="M11"/>
      <c r="N11"/>
      <c r="O11"/>
      <c r="P11"/>
      <c r="IT11"/>
    </row>
    <row r="12" spans="2:254" s="1" customFormat="1" x14ac:dyDescent="0.35">
      <c r="B12" s="92" t="s">
        <v>19</v>
      </c>
      <c r="C12" s="46"/>
      <c r="D12" s="157"/>
      <c r="E12" s="19"/>
      <c r="J12"/>
      <c r="K12"/>
      <c r="L12"/>
      <c r="M12"/>
      <c r="N12"/>
      <c r="O12"/>
      <c r="P12"/>
      <c r="IT12"/>
    </row>
    <row r="13" spans="2:254" s="1" customFormat="1" x14ac:dyDescent="0.35">
      <c r="B13" s="45" t="s">
        <v>20</v>
      </c>
      <c r="C13" s="46"/>
      <c r="D13" s="157">
        <f>IF('Contract Amount Calc - School'!C2="Special Needs Bus Service",1100,300)</f>
        <v>300</v>
      </c>
      <c r="J13"/>
      <c r="K13"/>
      <c r="L13"/>
      <c r="M13"/>
      <c r="N13"/>
      <c r="O13"/>
      <c r="P13"/>
      <c r="IT13"/>
    </row>
    <row r="14" spans="2:254" s="1" customFormat="1" x14ac:dyDescent="0.35">
      <c r="B14" s="92" t="s">
        <v>21</v>
      </c>
      <c r="C14" s="46"/>
      <c r="D14" s="158"/>
      <c r="J14" s="90"/>
      <c r="K14"/>
      <c r="L14"/>
      <c r="M14"/>
      <c r="N14"/>
      <c r="O14"/>
      <c r="P14"/>
      <c r="IT14"/>
    </row>
    <row r="15" spans="2:254" s="1" customFormat="1" x14ac:dyDescent="0.35">
      <c r="B15" s="45" t="s">
        <v>22</v>
      </c>
      <c r="C15" s="46">
        <v>40</v>
      </c>
      <c r="D15" s="158"/>
      <c r="E15" s="4"/>
      <c r="J15"/>
      <c r="K15"/>
      <c r="L15"/>
      <c r="M15"/>
      <c r="N15"/>
      <c r="O15"/>
      <c r="P15"/>
      <c r="IT15"/>
    </row>
    <row r="16" spans="2:254" s="1" customFormat="1" x14ac:dyDescent="0.35">
      <c r="B16" s="45" t="s">
        <v>23</v>
      </c>
      <c r="C16" s="102">
        <f>IF('Contract Amount Calc - School'!C2="Special Needs Bus Service",4,2)</f>
        <v>2</v>
      </c>
      <c r="D16" s="158"/>
      <c r="E16" s="3"/>
      <c r="H16" s="3"/>
      <c r="J16"/>
      <c r="K16"/>
      <c r="L16"/>
      <c r="M16"/>
      <c r="N16"/>
      <c r="O16"/>
      <c r="P16"/>
      <c r="IT16"/>
    </row>
    <row r="17" spans="2:254" s="1" customFormat="1" x14ac:dyDescent="0.35">
      <c r="B17" s="45" t="s">
        <v>24</v>
      </c>
      <c r="C17" s="103">
        <f>C16*C15</f>
        <v>80</v>
      </c>
      <c r="D17" s="157">
        <f>C17*E77</f>
        <v>2556.1471999999999</v>
      </c>
      <c r="E17" s="4" t="s">
        <v>58</v>
      </c>
      <c r="J17"/>
      <c r="K17" s="90"/>
      <c r="L17" s="90"/>
      <c r="M17" s="90"/>
      <c r="N17" s="90"/>
      <c r="O17" s="90"/>
      <c r="P17"/>
      <c r="IT17"/>
    </row>
    <row r="18" spans="2:254" s="1" customFormat="1" x14ac:dyDescent="0.35">
      <c r="B18" s="45" t="s">
        <v>25</v>
      </c>
      <c r="C18" s="46"/>
      <c r="D18" s="157">
        <v>35.15</v>
      </c>
      <c r="E18" s="4"/>
      <c r="J18"/>
      <c r="K18"/>
      <c r="L18"/>
      <c r="M18"/>
      <c r="N18"/>
      <c r="O18"/>
      <c r="P18" s="90"/>
      <c r="IT18"/>
    </row>
    <row r="19" spans="2:254" s="1" customFormat="1" x14ac:dyDescent="0.35">
      <c r="B19" t="s">
        <v>26</v>
      </c>
      <c r="C19"/>
      <c r="D19" s="156">
        <f>IF('Contract Amount Calc - School'!C6="Yes",2180,695)</f>
        <v>695</v>
      </c>
      <c r="E19" s="4"/>
      <c r="J19"/>
      <c r="K19"/>
      <c r="L19"/>
      <c r="M19"/>
      <c r="N19"/>
      <c r="O19"/>
      <c r="P19"/>
    </row>
    <row r="20" spans="2:254" s="1" customFormat="1" x14ac:dyDescent="0.35">
      <c r="B20" s="92" t="s">
        <v>57</v>
      </c>
      <c r="C20" s="93"/>
      <c r="D20" s="158"/>
      <c r="E20" s="4"/>
      <c r="J20"/>
      <c r="K20"/>
      <c r="L20"/>
      <c r="M20"/>
      <c r="N20"/>
      <c r="O20"/>
      <c r="P20"/>
    </row>
    <row r="21" spans="2:254" s="1" customFormat="1" x14ac:dyDescent="0.35">
      <c r="B21" s="94" t="s">
        <v>27</v>
      </c>
      <c r="C21" s="95">
        <v>10</v>
      </c>
      <c r="D21" s="158"/>
      <c r="E21" s="4"/>
      <c r="F21" s="19"/>
      <c r="G21" s="19"/>
      <c r="J21"/>
      <c r="K21"/>
      <c r="L21"/>
      <c r="M21"/>
      <c r="N21"/>
      <c r="O21"/>
      <c r="P21"/>
    </row>
    <row r="22" spans="2:254" s="1" customFormat="1" x14ac:dyDescent="0.35">
      <c r="B22" s="94" t="s">
        <v>56</v>
      </c>
      <c r="C22" s="96"/>
      <c r="D22" s="157">
        <f>(C21*E77)</f>
        <v>319.51839999999999</v>
      </c>
      <c r="E22" s="4"/>
      <c r="J22"/>
      <c r="K22"/>
      <c r="L22"/>
      <c r="M22"/>
      <c r="N22"/>
      <c r="O22"/>
      <c r="P22"/>
      <c r="IT22"/>
    </row>
    <row r="23" spans="2:254" s="1" customFormat="1" x14ac:dyDescent="0.35">
      <c r="B23" s="46"/>
      <c r="C23" s="46"/>
      <c r="D23" s="157"/>
      <c r="E23" s="4"/>
      <c r="J23" s="91"/>
      <c r="K23"/>
      <c r="L23"/>
      <c r="M23"/>
      <c r="N23"/>
      <c r="O23"/>
      <c r="P23"/>
      <c r="IT23"/>
    </row>
    <row r="24" spans="2:254" s="1" customFormat="1" ht="15" thickBot="1" x14ac:dyDescent="0.4">
      <c r="B24" s="98" t="s">
        <v>28</v>
      </c>
      <c r="C24" s="46"/>
      <c r="D24" s="159">
        <f>SUM(D3:D22)</f>
        <v>7957.815599999999</v>
      </c>
      <c r="E24" s="4"/>
      <c r="J24"/>
      <c r="K24"/>
      <c r="L24"/>
      <c r="M24"/>
      <c r="N24"/>
      <c r="O24"/>
      <c r="P24"/>
      <c r="IT24"/>
    </row>
    <row r="25" spans="2:254" s="1" customFormat="1" x14ac:dyDescent="0.35">
      <c r="B25" s="45"/>
      <c r="C25" s="46"/>
      <c r="D25" s="157"/>
      <c r="J25"/>
      <c r="K25"/>
      <c r="L25"/>
      <c r="M25"/>
      <c r="N25"/>
      <c r="O25"/>
      <c r="P25"/>
      <c r="IT25"/>
    </row>
    <row r="26" spans="2:254" s="1" customFormat="1" x14ac:dyDescent="0.35">
      <c r="B26" s="98" t="s">
        <v>29</v>
      </c>
      <c r="C26" s="46"/>
      <c r="D26" s="157"/>
      <c r="E26" s="4"/>
      <c r="J26"/>
      <c r="K26"/>
      <c r="L26"/>
      <c r="M26"/>
      <c r="N26"/>
      <c r="O26"/>
      <c r="P26"/>
      <c r="IT26"/>
    </row>
    <row r="27" spans="2:254" s="1" customFormat="1" x14ac:dyDescent="0.35">
      <c r="B27" s="46" t="s">
        <v>30</v>
      </c>
      <c r="C27" s="46"/>
      <c r="D27" s="157">
        <v>800</v>
      </c>
      <c r="E27" s="4"/>
      <c r="J27"/>
      <c r="K27"/>
      <c r="L27"/>
      <c r="M27"/>
      <c r="N27"/>
      <c r="O27"/>
      <c r="P27"/>
      <c r="IT27"/>
    </row>
    <row r="28" spans="2:254" s="1" customFormat="1" x14ac:dyDescent="0.35">
      <c r="B28" s="46"/>
      <c r="C28" s="46"/>
      <c r="D28" s="46"/>
      <c r="J28"/>
      <c r="K28"/>
      <c r="L28"/>
      <c r="M28"/>
      <c r="N28"/>
      <c r="O28"/>
      <c r="P28"/>
      <c r="IT28"/>
    </row>
    <row r="29" spans="2:254" s="1" customFormat="1" x14ac:dyDescent="0.35">
      <c r="B29" s="46"/>
      <c r="C29" s="46"/>
      <c r="D29" s="97"/>
      <c r="J29"/>
      <c r="K29"/>
      <c r="L29"/>
      <c r="M29"/>
      <c r="N29"/>
      <c r="O29"/>
      <c r="P29"/>
      <c r="IT29"/>
    </row>
    <row r="30" spans="2:254" s="1" customFormat="1" x14ac:dyDescent="0.35">
      <c r="B30" s="46" t="s">
        <v>35</v>
      </c>
      <c r="C30" s="46"/>
      <c r="D30" s="97"/>
      <c r="E30" s="4"/>
      <c r="J30"/>
      <c r="K30"/>
      <c r="L30"/>
      <c r="M30"/>
      <c r="N30"/>
      <c r="O30"/>
      <c r="P30"/>
      <c r="IT30"/>
    </row>
    <row r="31" spans="2:254" s="1" customFormat="1" x14ac:dyDescent="0.35">
      <c r="B31" s="99" t="s">
        <v>31</v>
      </c>
      <c r="C31" s="46">
        <v>3.7</v>
      </c>
      <c r="D31" s="46">
        <v>4.45</v>
      </c>
      <c r="E31" s="4"/>
      <c r="J31"/>
      <c r="K31"/>
      <c r="L31"/>
      <c r="M31"/>
      <c r="N31"/>
      <c r="O31"/>
      <c r="P31"/>
      <c r="IT31"/>
    </row>
    <row r="32" spans="2:254" s="1" customFormat="1" x14ac:dyDescent="0.35">
      <c r="B32" s="99" t="s">
        <v>32</v>
      </c>
      <c r="C32" s="46">
        <v>40</v>
      </c>
      <c r="D32" s="97"/>
      <c r="E32" s="4"/>
      <c r="J32"/>
      <c r="K32"/>
      <c r="L32"/>
      <c r="M32"/>
      <c r="N32"/>
      <c r="O32"/>
      <c r="P32"/>
      <c r="IT32"/>
    </row>
    <row r="33" spans="2:254" s="1" customFormat="1" x14ac:dyDescent="0.35">
      <c r="B33" s="94" t="s">
        <v>33</v>
      </c>
      <c r="C33" s="100">
        <f>C32*C31</f>
        <v>148</v>
      </c>
      <c r="D33" s="100">
        <v>178</v>
      </c>
      <c r="E33" s="3"/>
      <c r="J33"/>
      <c r="K33"/>
      <c r="L33"/>
      <c r="M33"/>
      <c r="N33"/>
      <c r="O33"/>
      <c r="P33"/>
      <c r="IT33"/>
    </row>
    <row r="34" spans="2:254" s="1" customFormat="1" x14ac:dyDescent="0.35">
      <c r="B34" s="99" t="s">
        <v>34</v>
      </c>
      <c r="C34" s="101">
        <f>Admin_HourlyRate</f>
        <v>35.315799999999996</v>
      </c>
      <c r="D34" s="93">
        <f>IF('Contract Amount Calc - School'!C2="Special Needs Bus Service",D31*Sheet1!C32*Sheet1!C34,C31*C32*Sheet1!C34)</f>
        <v>5226.7383999999993</v>
      </c>
      <c r="E34" s="4" t="s">
        <v>58</v>
      </c>
      <c r="J34"/>
      <c r="K34"/>
      <c r="L34"/>
      <c r="M34"/>
      <c r="N34"/>
      <c r="O34"/>
      <c r="P34"/>
      <c r="IT34"/>
    </row>
    <row r="35" spans="2:254" s="1" customFormat="1" x14ac:dyDescent="0.35">
      <c r="B35" s="46"/>
      <c r="C35" s="96"/>
      <c r="D35" s="93"/>
      <c r="E35" s="4"/>
      <c r="J35"/>
      <c r="K35"/>
      <c r="L35"/>
      <c r="M35"/>
      <c r="N35"/>
      <c r="O35"/>
      <c r="P35"/>
      <c r="IT35"/>
    </row>
    <row r="36" spans="2:254" s="1" customFormat="1" x14ac:dyDescent="0.35">
      <c r="B36" s="45" t="s">
        <v>36</v>
      </c>
      <c r="C36" s="46"/>
      <c r="D36" s="93">
        <v>120</v>
      </c>
      <c r="E36" s="4"/>
      <c r="J36"/>
      <c r="K36"/>
      <c r="L36"/>
      <c r="M36"/>
      <c r="N36"/>
      <c r="O36"/>
      <c r="P36"/>
      <c r="IT36"/>
    </row>
    <row r="37" spans="2:254" s="1" customFormat="1" x14ac:dyDescent="0.35">
      <c r="B37" s="45" t="s">
        <v>37</v>
      </c>
      <c r="C37" s="46"/>
      <c r="D37" s="93">
        <v>200</v>
      </c>
      <c r="E37" s="4"/>
      <c r="J37"/>
      <c r="K37"/>
      <c r="L37"/>
      <c r="M37"/>
      <c r="N37"/>
      <c r="O37"/>
      <c r="P37"/>
      <c r="IT37"/>
    </row>
    <row r="38" spans="2:254" s="1" customFormat="1" x14ac:dyDescent="0.35">
      <c r="B38" s="45" t="s">
        <v>38</v>
      </c>
      <c r="C38" s="46"/>
      <c r="D38" s="93">
        <v>300</v>
      </c>
      <c r="E38" s="4"/>
      <c r="J38"/>
      <c r="K38"/>
      <c r="L38"/>
      <c r="M38"/>
      <c r="N38"/>
      <c r="O38"/>
      <c r="P38"/>
      <c r="IT38"/>
    </row>
    <row r="39" spans="2:254" s="1" customFormat="1" x14ac:dyDescent="0.35">
      <c r="B39" s="45" t="s">
        <v>39</v>
      </c>
      <c r="C39" s="46"/>
      <c r="D39" s="93">
        <v>700</v>
      </c>
      <c r="E39" s="4"/>
      <c r="J39"/>
      <c r="K39"/>
      <c r="L39"/>
      <c r="M39"/>
      <c r="N39"/>
      <c r="O39"/>
      <c r="P39"/>
      <c r="IT39"/>
    </row>
    <row r="40" spans="2:254" s="1" customFormat="1" x14ac:dyDescent="0.35">
      <c r="B40" s="45" t="s">
        <v>62</v>
      </c>
      <c r="C40" s="46"/>
      <c r="D40" s="160">
        <v>500</v>
      </c>
      <c r="E40" s="4"/>
      <c r="F40" s="231">
        <f>ROUND(SUM(D11:D18,D27,D34:D40),2)</f>
        <v>11038.04</v>
      </c>
      <c r="I40" s="21"/>
      <c r="J40"/>
      <c r="K40"/>
      <c r="L40"/>
      <c r="M40"/>
      <c r="N40"/>
      <c r="O40"/>
      <c r="P40"/>
    </row>
    <row r="41" spans="2:254" s="1" customFormat="1" ht="16" x14ac:dyDescent="0.5">
      <c r="D41" s="161"/>
      <c r="F41" s="20"/>
      <c r="G41" s="20"/>
      <c r="H41" s="16"/>
      <c r="J41"/>
      <c r="K41"/>
      <c r="L41"/>
      <c r="M41"/>
      <c r="N41"/>
      <c r="O41"/>
      <c r="P41"/>
      <c r="IT41"/>
    </row>
    <row r="42" spans="2:254" s="1" customFormat="1" ht="15" thickBot="1" x14ac:dyDescent="0.4">
      <c r="B42" s="14" t="s">
        <v>40</v>
      </c>
      <c r="D42" s="162">
        <f>SUM(D27,D34,D36:D40)</f>
        <v>7846.7383999999993</v>
      </c>
      <c r="E42" s="22"/>
      <c r="J42"/>
      <c r="K42"/>
      <c r="L42"/>
      <c r="M42"/>
      <c r="N42"/>
      <c r="O42"/>
      <c r="P42"/>
      <c r="IT42"/>
    </row>
    <row r="43" spans="2:254" s="1" customFormat="1" x14ac:dyDescent="0.35">
      <c r="B43" s="4"/>
      <c r="D43" s="163"/>
      <c r="I43" s="25"/>
      <c r="J43"/>
      <c r="K43"/>
      <c r="L43"/>
      <c r="M43"/>
      <c r="N43"/>
      <c r="O43"/>
      <c r="P43"/>
      <c r="IT43"/>
    </row>
    <row r="44" spans="2:254" s="1" customFormat="1" ht="24" customHeight="1" thickBot="1" x14ac:dyDescent="0.4">
      <c r="B44" s="14" t="s">
        <v>41</v>
      </c>
      <c r="D44" s="164">
        <f>D24+D42</f>
        <v>15804.553999999998</v>
      </c>
      <c r="E44" s="3"/>
      <c r="H44" s="25"/>
      <c r="J44"/>
      <c r="K44"/>
      <c r="L44"/>
      <c r="M44"/>
      <c r="N44"/>
      <c r="O44"/>
      <c r="P44"/>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row>
    <row r="45" spans="2:254" s="1" customFormat="1" ht="15" thickTop="1" x14ac:dyDescent="0.35">
      <c r="B45" s="23"/>
      <c r="C45" s="24"/>
      <c r="D45" s="3"/>
      <c r="J45"/>
      <c r="K45"/>
      <c r="L45"/>
      <c r="M45"/>
      <c r="N45"/>
      <c r="O45"/>
      <c r="P45"/>
      <c r="IT45"/>
    </row>
    <row r="46" spans="2:254" s="1" customFormat="1" x14ac:dyDescent="0.35">
      <c r="B46" s="14" t="s">
        <v>59</v>
      </c>
      <c r="D46" s="26" t="s">
        <v>42</v>
      </c>
      <c r="E46" s="4"/>
      <c r="J46"/>
      <c r="K46"/>
      <c r="L46"/>
      <c r="M46"/>
      <c r="N46"/>
      <c r="O46"/>
      <c r="P46"/>
      <c r="IT46"/>
    </row>
    <row r="47" spans="2:254" s="1" customFormat="1" x14ac:dyDescent="0.35">
      <c r="B47" s="5"/>
      <c r="C47" s="27"/>
      <c r="D47" s="26"/>
      <c r="E47" s="4"/>
      <c r="J47"/>
      <c r="K47"/>
      <c r="L47"/>
      <c r="M47"/>
      <c r="N47"/>
      <c r="O47"/>
      <c r="P47"/>
      <c r="IT47"/>
    </row>
    <row r="48" spans="2:254" s="1" customFormat="1" x14ac:dyDescent="0.35">
      <c r="B48" s="5" t="s">
        <v>43</v>
      </c>
      <c r="C48" s="28" t="b">
        <f>IF('Contract Amount Calc - School'!C4="Small",IF('Contract Amount Calc - School'!C17="Base",0.165,0.195),IF('Contract Amount Calc - School'!C4="Medium",IF('Contract Amount Calc - School'!C17="Base",0.22,0.25),IF('Contract Amount Calc - School'!C4="Large",IF('Contract Amount Calc - School'!C17="Base",0.35,IF('Contract Amount Calc - School'!C17="Step 1",0.38,0.42)),IF('Contract Amount Calc - School'!C4="X-Large",IF('Contract Amount Calc - School'!C17="Base",0.35,IF('Contract Amount Calc - School'!C17="Step 1",0.38,0.42)),IF('Contract Amount Calc - School'!C4="Articulated",IF('Contract Amount Calc - School'!C17="Base",0.5,0.52))))))</f>
        <v>0</v>
      </c>
      <c r="D48" s="26"/>
      <c r="E48" s="4"/>
      <c r="J48"/>
      <c r="K48"/>
      <c r="L48"/>
      <c r="M48"/>
      <c r="N48"/>
      <c r="O48"/>
      <c r="P48"/>
      <c r="IT48"/>
    </row>
    <row r="49" spans="2:254" s="1" customFormat="1" x14ac:dyDescent="0.35">
      <c r="B49" s="5" t="s">
        <v>44</v>
      </c>
      <c r="C49" s="29">
        <f>IF('Contract Amount Calc - School'!C16="Tier 2",Sheet1!D49,Sheet1!D49+Sheet1!E49)</f>
        <v>1.45</v>
      </c>
      <c r="D49" s="26">
        <v>1.45</v>
      </c>
      <c r="E49" s="4">
        <v>0.4</v>
      </c>
      <c r="J49"/>
      <c r="K49"/>
      <c r="L49"/>
      <c r="M49"/>
      <c r="N49"/>
      <c r="O49"/>
      <c r="P49"/>
      <c r="IT49"/>
    </row>
    <row r="50" spans="2:254" s="1" customFormat="1" x14ac:dyDescent="0.35">
      <c r="B50" s="5" t="s">
        <v>45</v>
      </c>
      <c r="C50" s="30">
        <v>-0.154</v>
      </c>
      <c r="D50" s="11"/>
      <c r="E50" s="4"/>
      <c r="J50"/>
      <c r="K50"/>
      <c r="L50"/>
      <c r="M50"/>
      <c r="N50"/>
      <c r="O50"/>
      <c r="P50"/>
      <c r="IT50"/>
    </row>
    <row r="51" spans="2:254" s="1" customFormat="1" x14ac:dyDescent="0.35">
      <c r="B51" s="5" t="s">
        <v>46</v>
      </c>
      <c r="C51" s="31" t="e">
        <f>(C49+C50)/(1/C48)</f>
        <v>#DIV/0!</v>
      </c>
      <c r="D51" s="32">
        <f>(C49+C50)*C48</f>
        <v>0</v>
      </c>
      <c r="E51" s="33"/>
      <c r="J51"/>
      <c r="K51"/>
      <c r="L51"/>
      <c r="M51"/>
      <c r="N51"/>
      <c r="O51"/>
      <c r="P51"/>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row>
    <row r="52" spans="2:254" s="1" customFormat="1" x14ac:dyDescent="0.35">
      <c r="C52" s="27"/>
      <c r="D52" s="2"/>
      <c r="J52"/>
      <c r="K52"/>
      <c r="L52"/>
      <c r="M52"/>
      <c r="N52"/>
      <c r="O52"/>
      <c r="P52"/>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row>
    <row r="53" spans="2:254" s="1" customFormat="1" x14ac:dyDescent="0.35">
      <c r="B53" s="14" t="s">
        <v>47</v>
      </c>
      <c r="C53" s="27"/>
      <c r="D53" s="34"/>
      <c r="E53" s="33"/>
      <c r="J53"/>
      <c r="K53"/>
      <c r="L53"/>
      <c r="M53"/>
      <c r="N53"/>
      <c r="O53"/>
      <c r="P53"/>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row>
    <row r="54" spans="2:254" s="1" customFormat="1" x14ac:dyDescent="0.35">
      <c r="B54" s="5" t="s">
        <v>48</v>
      </c>
      <c r="C54" s="17">
        <f>IF('Contract Amount Calc - School'!C19="Yes",('Contract Amount Calc - School'!C20/'Contract Amount Calc - School'!C5),0)</f>
        <v>0</v>
      </c>
      <c r="D54" s="2"/>
      <c r="J54"/>
      <c r="K54"/>
      <c r="L54"/>
      <c r="M54"/>
      <c r="N54"/>
      <c r="O54"/>
      <c r="P54"/>
      <c r="IT54"/>
    </row>
    <row r="55" spans="2:254" s="1" customFormat="1" x14ac:dyDescent="0.35">
      <c r="B55" s="5" t="s">
        <v>49</v>
      </c>
      <c r="C55" s="35">
        <v>1.25</v>
      </c>
      <c r="D55" s="34"/>
      <c r="E55" s="33"/>
      <c r="J55"/>
      <c r="K55"/>
      <c r="L55"/>
      <c r="M55"/>
      <c r="N55"/>
      <c r="O55"/>
      <c r="P5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c r="HI55" s="25"/>
      <c r="HJ55" s="25"/>
      <c r="HK55" s="25"/>
      <c r="HL55" s="25"/>
      <c r="HM55" s="25"/>
      <c r="HN55" s="25"/>
      <c r="HO55" s="25"/>
      <c r="HP55" s="25"/>
      <c r="HQ55" s="25"/>
      <c r="HR55" s="25"/>
      <c r="HS55" s="25"/>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row>
    <row r="56" spans="2:254" s="1" customFormat="1" x14ac:dyDescent="0.35">
      <c r="B56" s="5" t="s">
        <v>50</v>
      </c>
      <c r="C56" s="27">
        <f>5/100</f>
        <v>0.05</v>
      </c>
      <c r="D56" s="2"/>
      <c r="E56" s="33"/>
      <c r="J56"/>
      <c r="K56"/>
      <c r="L56"/>
      <c r="M56"/>
      <c r="N56"/>
      <c r="O56"/>
      <c r="P56"/>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c r="HP56" s="25"/>
      <c r="HQ56" s="25"/>
      <c r="HR56" s="25"/>
      <c r="HS56" s="25"/>
      <c r="HT56" s="25"/>
      <c r="HU56" s="25"/>
      <c r="HV56" s="25"/>
      <c r="HW56" s="25"/>
      <c r="HX56" s="25"/>
      <c r="HY56" s="25"/>
      <c r="HZ56" s="25"/>
      <c r="IA56" s="25"/>
      <c r="IB56" s="25"/>
      <c r="IC56" s="25"/>
      <c r="ID56" s="25"/>
      <c r="IE56" s="25"/>
      <c r="IF56" s="25"/>
      <c r="IG56" s="25"/>
      <c r="IH56" s="25"/>
      <c r="II56" s="25"/>
      <c r="IJ56" s="25"/>
      <c r="IK56" s="25"/>
      <c r="IL56" s="25"/>
      <c r="IM56" s="25"/>
      <c r="IN56" s="25"/>
      <c r="IO56" s="25"/>
      <c r="IP56" s="25"/>
      <c r="IQ56" s="25"/>
      <c r="IR56" s="25"/>
      <c r="IS56" s="25"/>
      <c r="IT56"/>
    </row>
    <row r="57" spans="2:254" s="1" customFormat="1" x14ac:dyDescent="0.35">
      <c r="B57" s="5" t="s">
        <v>51</v>
      </c>
      <c r="C57" s="31">
        <f>0.063*C54</f>
        <v>0</v>
      </c>
      <c r="D57" s="36"/>
      <c r="E57" s="33"/>
      <c r="J57"/>
      <c r="K57"/>
      <c r="L57"/>
      <c r="M57"/>
      <c r="N57"/>
      <c r="O57"/>
      <c r="P57"/>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c r="GK57" s="25"/>
      <c r="GL57" s="25"/>
      <c r="GM57" s="25"/>
      <c r="GN57" s="25"/>
      <c r="GO57" s="25"/>
      <c r="GP57" s="25"/>
      <c r="GQ57" s="25"/>
      <c r="GR57" s="25"/>
      <c r="GS57" s="25"/>
      <c r="GT57" s="25"/>
      <c r="GU57" s="25"/>
      <c r="GV57" s="25"/>
      <c r="GW57" s="25"/>
      <c r="GX57" s="25"/>
      <c r="GY57" s="25"/>
      <c r="GZ57" s="25"/>
      <c r="HA57" s="25"/>
      <c r="HB57" s="25"/>
      <c r="HC57" s="25"/>
      <c r="HD57" s="25"/>
      <c r="HE57" s="25"/>
      <c r="HF57" s="25"/>
      <c r="HG57" s="25"/>
      <c r="HH57" s="25"/>
      <c r="HI57" s="25"/>
      <c r="HJ57" s="25"/>
      <c r="HK57" s="25"/>
      <c r="HL57" s="25"/>
      <c r="HM57" s="25"/>
      <c r="HN57" s="25"/>
      <c r="HO57" s="25"/>
      <c r="HP57" s="25"/>
      <c r="HQ57" s="25"/>
      <c r="HR57" s="25"/>
      <c r="HS57" s="25"/>
      <c r="HT57" s="25"/>
      <c r="HU57" s="25"/>
      <c r="HV57" s="25"/>
      <c r="HW57" s="25"/>
      <c r="HX57" s="25"/>
      <c r="HY57" s="25"/>
      <c r="HZ57" s="25"/>
      <c r="IA57" s="25"/>
      <c r="IB57" s="25"/>
      <c r="IC57" s="25"/>
      <c r="ID57" s="25"/>
      <c r="IE57" s="25"/>
      <c r="IF57" s="25"/>
      <c r="IG57" s="25"/>
      <c r="IH57" s="25"/>
      <c r="II57" s="25"/>
      <c r="IJ57" s="25"/>
      <c r="IK57" s="25"/>
      <c r="IL57" s="25"/>
      <c r="IM57" s="25"/>
      <c r="IN57" s="25"/>
      <c r="IO57" s="25"/>
      <c r="IP57" s="25"/>
      <c r="IQ57" s="25"/>
      <c r="IR57" s="25"/>
      <c r="IS57" s="25"/>
      <c r="IT57"/>
    </row>
    <row r="58" spans="2:254" s="1" customFormat="1" x14ac:dyDescent="0.35">
      <c r="B58" s="5"/>
      <c r="C58" s="47"/>
      <c r="D58" s="36"/>
      <c r="E58" s="33"/>
      <c r="J58"/>
      <c r="K58"/>
      <c r="L58"/>
      <c r="M58"/>
      <c r="N58"/>
      <c r="O58"/>
      <c r="P58"/>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row>
    <row r="59" spans="2:254" s="1" customFormat="1" x14ac:dyDescent="0.35">
      <c r="B59" s="4" t="s">
        <v>52</v>
      </c>
      <c r="C59" s="1" t="b">
        <f>IF('Contract Amount Calc - School'!C4="Small",IF('Contract Amount Calc - School'!C18="Base",0.342,0.372),IF('Contract Amount Calc - School'!C4="Medium",IF('Contract Amount Calc - School'!C18="Base",0.456,0.486),IF('Contract Amount Calc - School'!C4="Large",IF('Contract Amount Calc - School'!C18="Base",0.538,0.568),IF('Contract Amount Calc - School'!C4="X-Large",IF('Contract Amount Calc - School'!C18="Base",0.59,0.62),IF('Contract Amount Calc - School'!C4="Articulated",IF('Contract Amount Calc - School'!C18="Base",0.746,0.776))))))</f>
        <v>0</v>
      </c>
      <c r="D59" s="2"/>
      <c r="E59" s="33"/>
      <c r="J59"/>
      <c r="K59"/>
      <c r="L59"/>
      <c r="M59"/>
      <c r="N59"/>
      <c r="O59"/>
      <c r="P59"/>
      <c r="IT59"/>
    </row>
    <row r="60" spans="2:254" s="1" customFormat="1" x14ac:dyDescent="0.35">
      <c r="B60" s="4"/>
      <c r="D60" s="37"/>
      <c r="J60"/>
      <c r="K60"/>
      <c r="L60"/>
      <c r="M60"/>
      <c r="N60"/>
      <c r="O60"/>
      <c r="P60"/>
      <c r="IT60"/>
    </row>
    <row r="61" spans="2:254" s="1" customFormat="1" ht="15" thickBot="1" x14ac:dyDescent="0.4">
      <c r="B61" s="5" t="s">
        <v>53</v>
      </c>
      <c r="D61" s="38" t="e">
        <f>(C51+C57+C59)</f>
        <v>#DIV/0!</v>
      </c>
      <c r="J61"/>
      <c r="K61"/>
      <c r="L61"/>
      <c r="M61"/>
      <c r="N61"/>
      <c r="O61"/>
      <c r="P61"/>
    </row>
    <row r="62" spans="2:254" s="1" customFormat="1" ht="15" thickTop="1" x14ac:dyDescent="0.35">
      <c r="B62" s="5"/>
      <c r="J62"/>
      <c r="K62"/>
      <c r="L62"/>
      <c r="M62"/>
      <c r="N62"/>
      <c r="O62"/>
      <c r="P62"/>
    </row>
    <row r="63" spans="2:254" s="1" customFormat="1" x14ac:dyDescent="0.35">
      <c r="B63" s="14" t="s">
        <v>60</v>
      </c>
      <c r="D63" s="47"/>
      <c r="J63"/>
      <c r="K63"/>
      <c r="L63"/>
      <c r="M63"/>
      <c r="N63"/>
      <c r="O63"/>
      <c r="P63"/>
    </row>
    <row r="64" spans="2:254" s="1" customFormat="1" x14ac:dyDescent="0.35">
      <c r="B64" s="5" t="s">
        <v>61</v>
      </c>
      <c r="C64" s="35"/>
      <c r="D64" s="35">
        <v>0.68</v>
      </c>
      <c r="J64"/>
      <c r="K64"/>
      <c r="L64"/>
      <c r="M64"/>
      <c r="N64"/>
      <c r="O64"/>
      <c r="P64"/>
    </row>
    <row r="65" spans="2:254" s="1" customFormat="1" x14ac:dyDescent="0.35">
      <c r="B65" s="4"/>
      <c r="D65" s="35"/>
      <c r="J65"/>
      <c r="K65"/>
      <c r="L65"/>
      <c r="M65"/>
      <c r="N65"/>
      <c r="O65"/>
      <c r="P65"/>
    </row>
    <row r="66" spans="2:254" s="1" customFormat="1" x14ac:dyDescent="0.35">
      <c r="D66" s="2"/>
      <c r="E66" s="3"/>
      <c r="J66"/>
      <c r="K66"/>
      <c r="L66"/>
      <c r="M66"/>
      <c r="N66"/>
      <c r="O66"/>
      <c r="P66"/>
    </row>
    <row r="67" spans="2:254" s="1" customFormat="1" ht="15" thickBot="1" x14ac:dyDescent="0.4">
      <c r="B67" s="4" t="s">
        <v>0</v>
      </c>
      <c r="C67" s="7">
        <v>0.06</v>
      </c>
      <c r="D67" s="2"/>
      <c r="E67" s="3"/>
      <c r="J67"/>
      <c r="K67"/>
      <c r="L67"/>
      <c r="M67"/>
      <c r="N67"/>
      <c r="O67"/>
      <c r="P67"/>
    </row>
    <row r="68" spans="2:254" s="1" customFormat="1" ht="15" thickTop="1" x14ac:dyDescent="0.35">
      <c r="B68" s="6"/>
      <c r="C68" s="8"/>
      <c r="D68" s="2"/>
      <c r="E68" s="3"/>
      <c r="J68"/>
      <c r="K68"/>
      <c r="L68"/>
      <c r="M68"/>
      <c r="N68"/>
      <c r="O68"/>
      <c r="P68"/>
    </row>
    <row r="69" spans="2:254" s="1" customFormat="1" x14ac:dyDescent="0.35">
      <c r="B69" s="4"/>
      <c r="D69" s="2"/>
      <c r="E69" s="3"/>
      <c r="J69"/>
      <c r="K69"/>
      <c r="L69"/>
      <c r="M69"/>
      <c r="N69"/>
      <c r="O69"/>
      <c r="P69"/>
    </row>
    <row r="70" spans="2:254" s="1" customFormat="1" x14ac:dyDescent="0.35">
      <c r="B70" s="9" t="s">
        <v>1</v>
      </c>
      <c r="D70" s="10"/>
      <c r="E70" s="3"/>
      <c r="J70"/>
      <c r="K70"/>
      <c r="L70"/>
      <c r="M70"/>
      <c r="N70"/>
      <c r="O70"/>
      <c r="P70"/>
    </row>
    <row r="71" spans="2:254" s="1" customFormat="1" x14ac:dyDescent="0.35">
      <c r="B71" s="4" t="s">
        <v>2</v>
      </c>
      <c r="D71" s="10">
        <v>2.5000000000000001E-2</v>
      </c>
      <c r="E71" s="3"/>
      <c r="J71"/>
      <c r="K71"/>
      <c r="L71"/>
      <c r="M71"/>
      <c r="N71"/>
      <c r="O71"/>
      <c r="P71"/>
    </row>
    <row r="72" spans="2:254" s="1" customFormat="1" x14ac:dyDescent="0.35">
      <c r="B72" s="4" t="s">
        <v>3</v>
      </c>
      <c r="D72" s="10">
        <v>9.5000000000000001E-2</v>
      </c>
      <c r="E72" s="3"/>
      <c r="J72"/>
      <c r="K72"/>
      <c r="L72"/>
      <c r="M72"/>
      <c r="N72"/>
      <c r="O72"/>
      <c r="P72"/>
    </row>
    <row r="73" spans="2:254" s="1" customFormat="1" x14ac:dyDescent="0.35">
      <c r="B73" s="4" t="s">
        <v>4</v>
      </c>
      <c r="C73" s="10"/>
      <c r="D73" s="10">
        <v>3.5999999999999997E-2</v>
      </c>
      <c r="E73" s="3"/>
      <c r="J73"/>
      <c r="K73"/>
      <c r="L73"/>
      <c r="M73"/>
      <c r="N73"/>
      <c r="O73"/>
      <c r="P73"/>
    </row>
    <row r="74" spans="2:254" s="1" customFormat="1" x14ac:dyDescent="0.35">
      <c r="D74" s="11" t="s">
        <v>6</v>
      </c>
      <c r="E74" s="12" t="s">
        <v>7</v>
      </c>
      <c r="J74"/>
      <c r="K74"/>
      <c r="L74"/>
      <c r="M74"/>
      <c r="N74"/>
      <c r="O74"/>
      <c r="P74"/>
    </row>
    <row r="75" spans="2:254" s="1" customFormat="1" x14ac:dyDescent="0.35">
      <c r="B75" s="9" t="s">
        <v>8</v>
      </c>
      <c r="D75" s="2">
        <v>30.55</v>
      </c>
      <c r="E75" s="13">
        <f>(D75*(1+D71+D72+D73))</f>
        <v>35.315799999999996</v>
      </c>
      <c r="J75"/>
      <c r="K75"/>
      <c r="L75"/>
      <c r="M75"/>
      <c r="N75"/>
      <c r="O75"/>
      <c r="P75"/>
    </row>
    <row r="76" spans="2:254" s="1" customFormat="1" x14ac:dyDescent="0.35">
      <c r="B76" s="9" t="s">
        <v>55</v>
      </c>
      <c r="D76" s="2"/>
      <c r="E76" s="13"/>
      <c r="F76" s="1" t="s">
        <v>79</v>
      </c>
      <c r="J76"/>
      <c r="K76"/>
      <c r="L76"/>
      <c r="M76"/>
      <c r="N76"/>
      <c r="O76"/>
      <c r="P76"/>
    </row>
    <row r="77" spans="2:254" s="1" customFormat="1" x14ac:dyDescent="0.35">
      <c r="B77" s="4" t="s">
        <v>54</v>
      </c>
      <c r="D77" s="2">
        <v>27.64</v>
      </c>
      <c r="E77" s="13">
        <f>(D77*(1+$D$71+D72+$D$73))</f>
        <v>31.951839999999997</v>
      </c>
      <c r="F77" s="3">
        <f>Driver_Weekday*0.417</f>
        <v>13.323917279999998</v>
      </c>
      <c r="G77" s="3"/>
      <c r="J77"/>
      <c r="K77"/>
      <c r="L77"/>
      <c r="M77"/>
      <c r="N77"/>
      <c r="O77"/>
      <c r="P77"/>
      <c r="IT77"/>
    </row>
    <row r="78" spans="2:254" s="1" customFormat="1" ht="15.5" x14ac:dyDescent="0.35">
      <c r="B78" s="39"/>
      <c r="C78" s="42"/>
      <c r="I78" s="43"/>
      <c r="J78"/>
      <c r="K78"/>
      <c r="L78"/>
      <c r="M78"/>
      <c r="N78"/>
      <c r="O78"/>
      <c r="P78"/>
    </row>
  </sheetData>
  <protectedRanges>
    <protectedRange sqref="C59 E1:E74 G1:K74 F60:F74 F1:F58" name="Approved Vehicles"/>
  </protectedRanges>
  <dataValidations count="1">
    <dataValidation type="list" allowBlank="1" showInputMessage="1" showErrorMessage="1" sqref="IV46 SR46 ACN46 AMJ46 AWF46 BGB46 BPX46 BZT46 CJP46 CTL46 DDH46 DND46 DWZ46 EGV46 EQR46 FAN46 FKJ46 FUF46 GEB46 GNX46 GXT46 HHP46 HRL46 IBH46 ILD46 IUZ46 JEV46 JOR46 JYN46 KIJ46 KSF46 LCB46 LLX46 LVT46 MFP46 MPL46 MZH46 NJD46 NSZ46 OCV46 OMR46 OWN46 PGJ46 PQF46 QAB46 QJX46 QTT46 RDP46 RNL46 RXH46 SHD46 SQZ46 TAV46 TKR46 TUN46 UEJ46 UOF46 UYB46 VHX46 VRT46 WBP46 WLL46 WVH46">
      <formula1>"Base, Step 1"</formula1>
    </dataValidation>
  </dataValidations>
  <pageMargins left="0.7" right="0.7" top="0.75" bottom="0.75" header="0.3" footer="0.3"/>
  <pageSetup paperSize="9" orientation="portrait" r:id="rId1"/>
  <customProperties>
    <customPr name="SSC_SHEET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4"/>
  <sheetViews>
    <sheetView workbookViewId="0"/>
  </sheetViews>
  <sheetFormatPr defaultRowHeight="14.5" x14ac:dyDescent="0.35"/>
  <sheetData>
    <row r="1" spans="1:5" x14ac:dyDescent="0.35">
      <c r="A1" t="s">
        <v>116</v>
      </c>
      <c r="C1" t="s">
        <v>113</v>
      </c>
      <c r="D1" t="s">
        <v>117</v>
      </c>
      <c r="E1" t="s">
        <v>112</v>
      </c>
    </row>
    <row r="2" spans="1:5" x14ac:dyDescent="0.35">
      <c r="C2" t="s">
        <v>145</v>
      </c>
    </row>
    <row r="3" spans="1:5" x14ac:dyDescent="0.35">
      <c r="C3" t="s">
        <v>147</v>
      </c>
    </row>
    <row r="4" spans="1:5" x14ac:dyDescent="0.35">
      <c r="C4"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Contract Amount Calc - School</vt:lpstr>
      <vt:lpstr>Maximum Capital Rates - School</vt:lpstr>
      <vt:lpstr>Sheet1</vt:lpstr>
      <vt:lpstr>Admin_HourlyRate</vt:lpstr>
      <vt:lpstr>Bus_Fixed_Costs</vt:lpstr>
      <vt:lpstr>CompInsMin</vt:lpstr>
      <vt:lpstr>Driver_Weekday</vt:lpstr>
    </vt:vector>
  </TitlesOfParts>
  <Company>Department of State Growth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Elliot, Craig</dc:creator>
  <cp:lastModifiedBy>Elliot, Craig</cp:lastModifiedBy>
  <cp:lastPrinted>2019-06-18T05:57:05Z</cp:lastPrinted>
  <dcterms:created xsi:type="dcterms:W3CDTF">2018-07-04T02:06:45Z</dcterms:created>
  <dcterms:modified xsi:type="dcterms:W3CDTF">2020-07-08T23:55:28Z</dcterms:modified>
</cp:coreProperties>
</file>