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-byron\Desktop\"/>
    </mc:Choice>
  </mc:AlternateContent>
  <xr:revisionPtr revIDLastSave="0" documentId="13_ncr:1_{8E77EEA5-15F8-47EF-92DE-D3E242588D1D}" xr6:coauthVersionLast="45" xr6:coauthVersionMax="45" xr10:uidLastSave="{00000000-0000-0000-0000-000000000000}"/>
  <workbookProtection workbookAlgorithmName="SHA-512" workbookHashValue="0XfNvlUgQTeXENAYqHSFnqtjuGraDjRZxlCC4Q/QkjJR3FM85JD2MzbFSghDqYWl4awm5hV3MWrOWHu5btXkIw==" workbookSaltValue="MPSr7dkuGhI5+KE5/29Yhg==" workbookSpinCount="100000" lockStructure="1"/>
  <bookViews>
    <workbookView xWindow="-120" yWindow="-120" windowWidth="29040" windowHeight="17640" tabRatio="751" xr2:uid="{00000000-000D-0000-FFFF-FFFF00000000}"/>
  </bookViews>
  <sheets>
    <sheet name="GA Model" sheetId="67" r:id="rId1"/>
    <sheet name="Time and Kilometres" sheetId="75" state="hidden" r:id="rId2"/>
    <sheet name="Fleet" sheetId="76" r:id="rId3"/>
    <sheet name="GA Rates &amp; Allowances" sheetId="60" state="hidden" r:id="rId4"/>
    <sheet name="Capital Rates" sheetId="69" r:id="rId5"/>
    <sheet name="Transition Capital Rates" sheetId="70" r:id="rId6"/>
  </sheets>
  <definedNames>
    <definedName name="Admin_HourlyRate">'GA Rates &amp; Allowances'!$D$16</definedName>
    <definedName name="Bus_Fixed_Costs">'GA Rates &amp; Allowances'!$C$93</definedName>
    <definedName name="Driver_PubHol">'GA Rates &amp; Allowances'!$D$22</definedName>
    <definedName name="Driver_Sat">'GA Rates &amp; Allowances'!$D$20</definedName>
    <definedName name="Driver_Sun">'GA Rates &amp; Allowances'!$D$21</definedName>
    <definedName name="Driver_Weekday">'GA Rates &amp; Allowances'!$D$18</definedName>
    <definedName name="Driver_Weekday_Out">'GA Rates &amp; Allowances'!$D$19</definedName>
    <definedName name="GA_Maximum_Age">11</definedName>
    <definedName name="Operators_Margin">'GA Rates &amp; Allowances'!$B$3</definedName>
    <definedName name="PrePostInsp_Loading">'GA Rates &amp; Allowances'!$B$25</definedName>
    <definedName name="_xlnm.Print_Area" localSheetId="2">Fleet!$A$1:$AF$60</definedName>
    <definedName name="_xlnm.Print_Area" localSheetId="1">'Time and Kilometres'!$A$1:$H$14</definedName>
    <definedName name="Supervisor_HourlyRate">'GA Rates &amp; Allowances'!$D$23</definedName>
    <definedName name="Vehicle_CostPerKM">'GA Rates &amp; Allowances'!$C$113</definedName>
    <definedName name="WeekendPubHol_Loading">'GA Rates &amp; Allowances'!$B$26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69" l="1"/>
  <c r="B9" i="69" s="1"/>
  <c r="B10" i="69" s="1"/>
  <c r="C8" i="69"/>
  <c r="C9" i="69" s="1"/>
  <c r="C10" i="69" s="1"/>
  <c r="D8" i="69"/>
  <c r="E8" i="69"/>
  <c r="F8" i="69"/>
  <c r="D9" i="69"/>
  <c r="D10" i="69" s="1"/>
  <c r="E9" i="69"/>
  <c r="E10" i="69" s="1"/>
  <c r="F9" i="69"/>
  <c r="F10" i="69" s="1"/>
  <c r="B12" i="69"/>
  <c r="B14" i="69" s="1"/>
  <c r="C12" i="69"/>
  <c r="C14" i="69" s="1"/>
  <c r="D12" i="69"/>
  <c r="D14" i="69" s="1"/>
  <c r="E12" i="69"/>
  <c r="F12" i="69"/>
  <c r="E14" i="69"/>
  <c r="F14" i="69"/>
  <c r="W27" i="76"/>
  <c r="X27" i="76" s="1"/>
  <c r="W26" i="76"/>
  <c r="X26" i="76" s="1"/>
  <c r="W25" i="76"/>
  <c r="X25" i="76" s="1"/>
  <c r="W24" i="76"/>
  <c r="X24" i="76" s="1"/>
  <c r="W23" i="76"/>
  <c r="X23" i="76" s="1"/>
  <c r="W22" i="76"/>
  <c r="X22" i="76" s="1"/>
  <c r="W21" i="76"/>
  <c r="X21" i="76" s="1"/>
  <c r="W20" i="76"/>
  <c r="X20" i="76" s="1"/>
  <c r="W19" i="76"/>
  <c r="X19" i="76" s="1"/>
  <c r="W18" i="76"/>
  <c r="X18" i="76" s="1"/>
  <c r="W17" i="76"/>
  <c r="X17" i="76" s="1"/>
  <c r="W16" i="76"/>
  <c r="X16" i="76" s="1"/>
  <c r="X15" i="76"/>
  <c r="W15" i="76"/>
  <c r="W14" i="76"/>
  <c r="X14" i="76" s="1"/>
  <c r="W13" i="76"/>
  <c r="X13" i="76" s="1"/>
  <c r="W12" i="76"/>
  <c r="X12" i="76" s="1"/>
  <c r="W11" i="76"/>
  <c r="X11" i="76" s="1"/>
  <c r="W10" i="76"/>
  <c r="X10" i="76" s="1"/>
  <c r="X9" i="76"/>
  <c r="W9" i="76"/>
  <c r="W8" i="76"/>
  <c r="X8" i="76" s="1"/>
  <c r="W7" i="76"/>
  <c r="X7" i="76" s="1"/>
  <c r="W6" i="76"/>
  <c r="X6" i="76" s="1"/>
  <c r="W5" i="76"/>
  <c r="X5" i="76" s="1"/>
  <c r="W4" i="76"/>
  <c r="X4" i="76" s="1"/>
  <c r="R27" i="76"/>
  <c r="S27" i="76" s="1"/>
  <c r="M27" i="76"/>
  <c r="N27" i="76" s="1"/>
  <c r="R26" i="76"/>
  <c r="P26" i="76" s="1"/>
  <c r="M26" i="76"/>
  <c r="N26" i="76" s="1"/>
  <c r="R25" i="76"/>
  <c r="Q25" i="76" s="1"/>
  <c r="M25" i="76"/>
  <c r="N25" i="76" s="1"/>
  <c r="R24" i="76"/>
  <c r="Q24" i="76" s="1"/>
  <c r="M24" i="76"/>
  <c r="N24" i="76" s="1"/>
  <c r="R23" i="76"/>
  <c r="S23" i="76" s="1"/>
  <c r="M23" i="76"/>
  <c r="N23" i="76" s="1"/>
  <c r="R22" i="76"/>
  <c r="S22" i="76" s="1"/>
  <c r="M22" i="76"/>
  <c r="N22" i="76" s="1"/>
  <c r="R21" i="76"/>
  <c r="S21" i="76" s="1"/>
  <c r="M21" i="76"/>
  <c r="N21" i="76" s="1"/>
  <c r="R20" i="76"/>
  <c r="P20" i="76" s="1"/>
  <c r="M20" i="76"/>
  <c r="N20" i="76" s="1"/>
  <c r="R19" i="76"/>
  <c r="S19" i="76" s="1"/>
  <c r="M19" i="76"/>
  <c r="N19" i="76" s="1"/>
  <c r="R18" i="76"/>
  <c r="P18" i="76" s="1"/>
  <c r="M18" i="76"/>
  <c r="N18" i="76" s="1"/>
  <c r="R17" i="76"/>
  <c r="Q17" i="76" s="1"/>
  <c r="M17" i="76"/>
  <c r="N17" i="76" s="1"/>
  <c r="R16" i="76"/>
  <c r="S16" i="76" s="1"/>
  <c r="M16" i="76"/>
  <c r="N16" i="76" s="1"/>
  <c r="R15" i="76"/>
  <c r="S15" i="76" s="1"/>
  <c r="M15" i="76"/>
  <c r="N15" i="76" s="1"/>
  <c r="R14" i="76"/>
  <c r="S14" i="76" s="1"/>
  <c r="M14" i="76"/>
  <c r="N14" i="76" s="1"/>
  <c r="R13" i="76"/>
  <c r="S13" i="76" s="1"/>
  <c r="M13" i="76"/>
  <c r="N13" i="76" s="1"/>
  <c r="R12" i="76"/>
  <c r="S12" i="76" s="1"/>
  <c r="M12" i="76"/>
  <c r="N12" i="76" s="1"/>
  <c r="R11" i="76"/>
  <c r="S11" i="76" s="1"/>
  <c r="M11" i="76"/>
  <c r="N11" i="76" s="1"/>
  <c r="R10" i="76"/>
  <c r="P10" i="76" s="1"/>
  <c r="M10" i="76"/>
  <c r="N10" i="76" s="1"/>
  <c r="R9" i="76"/>
  <c r="Q9" i="76" s="1"/>
  <c r="M9" i="76"/>
  <c r="N9" i="76" s="1"/>
  <c r="R8" i="76"/>
  <c r="Q8" i="76" s="1"/>
  <c r="M8" i="76"/>
  <c r="N8" i="76" s="1"/>
  <c r="R7" i="76"/>
  <c r="S7" i="76" s="1"/>
  <c r="M7" i="76"/>
  <c r="N7" i="76" s="1"/>
  <c r="R6" i="76"/>
  <c r="S6" i="76" s="1"/>
  <c r="M6" i="76"/>
  <c r="N6" i="76" s="1"/>
  <c r="R5" i="76"/>
  <c r="S5" i="76" s="1"/>
  <c r="M5" i="76"/>
  <c r="N5" i="76" s="1"/>
  <c r="R4" i="76"/>
  <c r="S4" i="76" s="1"/>
  <c r="M4" i="76"/>
  <c r="N4" i="76" s="1"/>
  <c r="AF27" i="76"/>
  <c r="Y27" i="76" s="1"/>
  <c r="AF26" i="76"/>
  <c r="Y26" i="76" s="1"/>
  <c r="AF24" i="76"/>
  <c r="Y24" i="76" s="1"/>
  <c r="AF22" i="76"/>
  <c r="Y22" i="76" s="1"/>
  <c r="AF21" i="76"/>
  <c r="Y21" i="76" s="1"/>
  <c r="AF20" i="76"/>
  <c r="Y20" i="76" s="1"/>
  <c r="AF18" i="76"/>
  <c r="Y18" i="76" s="1"/>
  <c r="AF16" i="76"/>
  <c r="Y16" i="76" s="1"/>
  <c r="AF14" i="76"/>
  <c r="Y14" i="76" s="1"/>
  <c r="AF13" i="76"/>
  <c r="Y13" i="76" s="1"/>
  <c r="AF12" i="76"/>
  <c r="Y12" i="76" s="1"/>
  <c r="AF10" i="76"/>
  <c r="Y10" i="76" s="1"/>
  <c r="AF8" i="76"/>
  <c r="Y8" i="76" s="1"/>
  <c r="AF6" i="76"/>
  <c r="Y6" i="76" s="1"/>
  <c r="AF5" i="76"/>
  <c r="Y5" i="76" s="1"/>
  <c r="AF4" i="76"/>
  <c r="Y4" i="76" s="1"/>
  <c r="Q18" i="76" l="1"/>
  <c r="Q21" i="76"/>
  <c r="Q5" i="76"/>
  <c r="P12" i="76"/>
  <c r="S24" i="76"/>
  <c r="P4" i="76"/>
  <c r="P16" i="76"/>
  <c r="P24" i="76"/>
  <c r="Q4" i="76"/>
  <c r="O4" i="76" s="1"/>
  <c r="Q14" i="76"/>
  <c r="P15" i="76"/>
  <c r="Q16" i="76"/>
  <c r="Q20" i="76"/>
  <c r="P21" i="76"/>
  <c r="Q22" i="76"/>
  <c r="P23" i="76"/>
  <c r="S8" i="76"/>
  <c r="Q10" i="76"/>
  <c r="Q12" i="76"/>
  <c r="S26" i="76"/>
  <c r="O26" i="76" s="1"/>
  <c r="P8" i="76"/>
  <c r="P13" i="76"/>
  <c r="S18" i="76"/>
  <c r="S20" i="76"/>
  <c r="P5" i="76"/>
  <c r="Q6" i="76"/>
  <c r="P7" i="76"/>
  <c r="S10" i="76"/>
  <c r="O10" i="76" s="1"/>
  <c r="Q13" i="76"/>
  <c r="O13" i="76" s="1"/>
  <c r="Q26" i="76"/>
  <c r="O21" i="76"/>
  <c r="P6" i="76"/>
  <c r="O6" i="76" s="1"/>
  <c r="Q7" i="76"/>
  <c r="S9" i="76"/>
  <c r="P14" i="76"/>
  <c r="O14" i="76" s="1"/>
  <c r="Q15" i="76"/>
  <c r="S17" i="76"/>
  <c r="P22" i="76"/>
  <c r="Q23" i="76"/>
  <c r="S25" i="76"/>
  <c r="AF7" i="76"/>
  <c r="Y7" i="76" s="1"/>
  <c r="AF15" i="76"/>
  <c r="Y15" i="76" s="1"/>
  <c r="AF23" i="76"/>
  <c r="Y23" i="76" s="1"/>
  <c r="P11" i="76"/>
  <c r="P19" i="76"/>
  <c r="P27" i="76"/>
  <c r="AF9" i="76"/>
  <c r="Y9" i="76" s="1"/>
  <c r="AF17" i="76"/>
  <c r="Y17" i="76" s="1"/>
  <c r="AF25" i="76"/>
  <c r="Y25" i="76" s="1"/>
  <c r="Q11" i="76"/>
  <c r="Q19" i="76"/>
  <c r="Q27" i="76"/>
  <c r="P9" i="76"/>
  <c r="P17" i="76"/>
  <c r="P25" i="76"/>
  <c r="AF11" i="76"/>
  <c r="Y11" i="76" s="1"/>
  <c r="AF19" i="76"/>
  <c r="Y19" i="76" s="1"/>
  <c r="O22" i="76" l="1"/>
  <c r="O5" i="76"/>
  <c r="O23" i="76"/>
  <c r="O12" i="76"/>
  <c r="O16" i="76"/>
  <c r="O15" i="76"/>
  <c r="O20" i="76"/>
  <c r="O18" i="76"/>
  <c r="O24" i="76"/>
  <c r="O27" i="76"/>
  <c r="O9" i="76"/>
  <c r="O8" i="76"/>
  <c r="O17" i="76"/>
  <c r="O7" i="76"/>
  <c r="O11" i="76"/>
  <c r="O25" i="76"/>
  <c r="O19" i="76"/>
  <c r="M3" i="76" l="1"/>
  <c r="H3" i="76"/>
  <c r="O48" i="69" l="1"/>
  <c r="N48" i="69"/>
  <c r="M48" i="69"/>
  <c r="L48" i="69"/>
  <c r="N3" i="76"/>
  <c r="R3" i="76"/>
  <c r="W3" i="76"/>
  <c r="X3" i="76" s="1"/>
  <c r="AF3" i="76" l="1"/>
  <c r="Y3" i="76" s="1"/>
  <c r="P3" i="76"/>
  <c r="S3" i="76"/>
  <c r="O3" i="76" s="1"/>
  <c r="Q3" i="76"/>
  <c r="H14" i="75" l="1"/>
  <c r="H13" i="75"/>
  <c r="H11" i="75"/>
  <c r="H9" i="75"/>
  <c r="H7" i="75"/>
  <c r="H5" i="75"/>
  <c r="H4" i="75"/>
  <c r="H3" i="75"/>
  <c r="G14" i="75"/>
  <c r="G13" i="75"/>
  <c r="G11" i="75"/>
  <c r="G9" i="75"/>
  <c r="G7" i="75"/>
  <c r="G5" i="75"/>
  <c r="G4" i="75"/>
  <c r="G3" i="75"/>
  <c r="F14" i="75"/>
  <c r="E13" i="75"/>
  <c r="E11" i="75"/>
  <c r="D13" i="75"/>
  <c r="D11" i="75"/>
  <c r="C13" i="75"/>
  <c r="C11" i="75"/>
  <c r="B13" i="75"/>
  <c r="B11" i="75"/>
  <c r="F11" i="75"/>
  <c r="F9" i="75"/>
  <c r="E9" i="75"/>
  <c r="D9" i="75"/>
  <c r="C9" i="75"/>
  <c r="B9" i="75"/>
  <c r="F7" i="75"/>
  <c r="E7" i="75"/>
  <c r="D7" i="75"/>
  <c r="C7" i="75"/>
  <c r="B7" i="75"/>
  <c r="F13" i="75"/>
  <c r="F5" i="75" l="1"/>
  <c r="F4" i="75"/>
  <c r="F3" i="75"/>
  <c r="E14" i="75"/>
  <c r="E5" i="75"/>
  <c r="E4" i="75"/>
  <c r="E3" i="75"/>
  <c r="D14" i="75"/>
  <c r="D5" i="75"/>
  <c r="D4" i="75"/>
  <c r="D3" i="75"/>
  <c r="C14" i="75"/>
  <c r="C5" i="75"/>
  <c r="C4" i="75"/>
  <c r="C3" i="75"/>
  <c r="B14" i="75"/>
  <c r="B5" i="75"/>
  <c r="B4" i="75"/>
  <c r="B3" i="75"/>
  <c r="C59" i="67" l="1"/>
  <c r="B111" i="60" l="1"/>
  <c r="B38" i="69" l="1"/>
  <c r="H38" i="69"/>
  <c r="A39" i="69"/>
  <c r="A40" i="69" s="1"/>
  <c r="A41" i="69" s="1"/>
  <c r="A42" i="69" s="1"/>
  <c r="A43" i="69" s="1"/>
  <c r="A44" i="69" s="1"/>
  <c r="A45" i="69" s="1"/>
  <c r="A46" i="69" s="1"/>
  <c r="A47" i="69" s="1"/>
  <c r="B47" i="69" s="1"/>
  <c r="H39" i="69"/>
  <c r="I38" i="69"/>
  <c r="B43" i="69" l="1"/>
  <c r="B39" i="69"/>
  <c r="B46" i="69"/>
  <c r="B42" i="69"/>
  <c r="B45" i="69"/>
  <c r="B41" i="69"/>
  <c r="B44" i="69"/>
  <c r="B40" i="69"/>
  <c r="J38" i="69"/>
  <c r="I39" i="69"/>
  <c r="J39" i="69" s="1"/>
  <c r="I40" i="69"/>
  <c r="J40" i="69" s="1"/>
  <c r="K38" i="69"/>
  <c r="H40" i="69"/>
  <c r="K39" i="69"/>
  <c r="I41" i="69" l="1"/>
  <c r="J41" i="69" s="1"/>
  <c r="H41" i="69"/>
  <c r="K40" i="69"/>
  <c r="I42" i="69" l="1"/>
  <c r="J42" i="69" s="1"/>
  <c r="K41" i="69"/>
  <c r="H42" i="69"/>
  <c r="I43" i="69" l="1"/>
  <c r="J43" i="69" s="1"/>
  <c r="K42" i="69"/>
  <c r="H43" i="69"/>
  <c r="D19" i="60"/>
  <c r="D20" i="60"/>
  <c r="D21" i="60"/>
  <c r="D22" i="60"/>
  <c r="D18" i="60"/>
  <c r="K43" i="69" l="1"/>
  <c r="H44" i="69"/>
  <c r="I44" i="69"/>
  <c r="J44" i="69" s="1"/>
  <c r="D11" i="60"/>
  <c r="H45" i="69" l="1"/>
  <c r="K44" i="69"/>
  <c r="I45" i="69"/>
  <c r="J45" i="69" s="1"/>
  <c r="K45" i="69" l="1"/>
  <c r="H46" i="69"/>
  <c r="I46" i="69"/>
  <c r="J46" i="69" s="1"/>
  <c r="P9" i="67"/>
  <c r="P5" i="67"/>
  <c r="P11" i="67" s="1"/>
  <c r="C51" i="67" s="1"/>
  <c r="H47" i="69" l="1"/>
  <c r="K46" i="69"/>
  <c r="I47" i="69"/>
  <c r="J47" i="69" s="1"/>
  <c r="H59" i="67"/>
  <c r="K47" i="69" l="1"/>
  <c r="G2" i="60"/>
  <c r="B106" i="60" l="1"/>
  <c r="C10" i="67" s="1"/>
  <c r="B100" i="60" l="1"/>
  <c r="M31" i="67" l="1"/>
  <c r="Q35" i="67" l="1"/>
  <c r="Q36" i="67" s="1"/>
  <c r="P34" i="67"/>
  <c r="P36" i="67" s="1"/>
  <c r="O33" i="67"/>
  <c r="O36" i="67" s="1"/>
  <c r="M32" i="67"/>
  <c r="N32" i="67"/>
  <c r="N31" i="67"/>
  <c r="N36" i="67" l="1"/>
  <c r="M36" i="67"/>
  <c r="D127" i="60"/>
  <c r="D123" i="60"/>
  <c r="B108" i="60"/>
  <c r="C103" i="60"/>
  <c r="B77" i="60"/>
  <c r="B79" i="60" s="1"/>
  <c r="B71" i="60"/>
  <c r="B73" i="60" s="1"/>
  <c r="C64" i="60"/>
  <c r="C63" i="60"/>
  <c r="B61" i="60"/>
  <c r="B53" i="60"/>
  <c r="C44" i="60"/>
  <c r="C43" i="60"/>
  <c r="B40" i="60"/>
  <c r="C40" i="60" s="1"/>
  <c r="C35" i="60"/>
  <c r="D23" i="60"/>
  <c r="B74" i="60" s="1"/>
  <c r="G21" i="60"/>
  <c r="G20" i="60"/>
  <c r="D16" i="60"/>
  <c r="B80" i="60" s="1"/>
  <c r="C13" i="60"/>
  <c r="C62" i="60" s="1"/>
  <c r="B5" i="60"/>
  <c r="C94" i="60" l="1"/>
  <c r="C53" i="60"/>
  <c r="C65" i="60" s="1"/>
  <c r="Q37" i="67"/>
  <c r="G22" i="60"/>
  <c r="B109" i="60"/>
  <c r="D130" i="60"/>
  <c r="C80" i="60"/>
  <c r="C74" i="60"/>
  <c r="B103" i="60"/>
  <c r="C113" i="60" l="1"/>
  <c r="C90" i="60"/>
  <c r="C93" i="60" s="1"/>
  <c r="C58" i="67" s="1"/>
  <c r="F87" i="60"/>
  <c r="F88" i="60" l="1"/>
  <c r="G88" i="60" s="1"/>
  <c r="G87" i="60" l="1"/>
  <c r="F89" i="60"/>
  <c r="C36" i="67" l="1"/>
  <c r="J16" i="67"/>
  <c r="P46" i="67"/>
  <c r="C74" i="67" l="1"/>
  <c r="L26" i="67"/>
  <c r="G36" i="67"/>
  <c r="F36" i="67"/>
  <c r="E36" i="67"/>
  <c r="D36" i="67"/>
  <c r="G37" i="67" l="1"/>
  <c r="D51" i="67" l="1"/>
  <c r="C43" i="67" l="1"/>
  <c r="E37" i="70" l="1"/>
  <c r="E36" i="70"/>
  <c r="E29" i="70"/>
  <c r="E31" i="70"/>
  <c r="E33" i="70" s="1"/>
  <c r="O18" i="69" l="1"/>
  <c r="O37" i="69" s="1"/>
  <c r="N18" i="69"/>
  <c r="N37" i="69" s="1"/>
  <c r="M18" i="69"/>
  <c r="M37" i="69" s="1"/>
  <c r="E18" i="69"/>
  <c r="E37" i="69" s="1"/>
  <c r="E19" i="69"/>
  <c r="N39" i="69" l="1"/>
  <c r="N41" i="69"/>
  <c r="N43" i="69"/>
  <c r="N45" i="69"/>
  <c r="N47" i="69"/>
  <c r="N38" i="69"/>
  <c r="N40" i="69"/>
  <c r="N42" i="69"/>
  <c r="N44" i="69"/>
  <c r="N46" i="69"/>
  <c r="P26" i="67"/>
  <c r="Q26" i="67"/>
  <c r="O26" i="67"/>
  <c r="N26" i="67"/>
  <c r="M26" i="67"/>
  <c r="I46" i="67"/>
  <c r="H46" i="67"/>
  <c r="L46" i="67"/>
  <c r="K46" i="67"/>
  <c r="J46" i="67"/>
  <c r="C61" i="67"/>
  <c r="C37" i="70"/>
  <c r="C31" i="70"/>
  <c r="C33" i="70" s="1"/>
  <c r="C29" i="70"/>
  <c r="J46" i="70"/>
  <c r="J45" i="70"/>
  <c r="J44" i="70"/>
  <c r="J43" i="70"/>
  <c r="J42" i="70"/>
  <c r="J41" i="70"/>
  <c r="J40" i="70"/>
  <c r="J39" i="70"/>
  <c r="J38" i="70"/>
  <c r="J37" i="70"/>
  <c r="B37" i="70"/>
  <c r="B29" i="70"/>
  <c r="B36" i="70"/>
  <c r="K36" i="70"/>
  <c r="B31" i="70"/>
  <c r="B33" i="70" s="1"/>
  <c r="K37" i="70" s="1"/>
  <c r="B19" i="70"/>
  <c r="B4" i="70"/>
  <c r="B5" i="70"/>
  <c r="B6" i="70"/>
  <c r="B7" i="70"/>
  <c r="B8" i="70"/>
  <c r="B9" i="70"/>
  <c r="B10" i="70"/>
  <c r="B11" i="70"/>
  <c r="B12" i="70"/>
  <c r="B13" i="70"/>
  <c r="B14" i="70"/>
  <c r="B15" i="70"/>
  <c r="B16" i="70"/>
  <c r="B17" i="70"/>
  <c r="B18" i="70"/>
  <c r="B3" i="70"/>
  <c r="C19" i="70"/>
  <c r="C18" i="70"/>
  <c r="C17" i="70"/>
  <c r="C16" i="70"/>
  <c r="C15" i="70"/>
  <c r="C14" i="70"/>
  <c r="C13" i="70"/>
  <c r="C12" i="70"/>
  <c r="C11" i="70"/>
  <c r="C10" i="70"/>
  <c r="C9" i="70"/>
  <c r="C8" i="70"/>
  <c r="C7" i="70"/>
  <c r="C6" i="70"/>
  <c r="C5" i="70"/>
  <c r="C4" i="70"/>
  <c r="C3" i="70"/>
  <c r="D29" i="70"/>
  <c r="F29" i="70"/>
  <c r="D31" i="70"/>
  <c r="D33" i="70"/>
  <c r="F31" i="70"/>
  <c r="F33" i="70" s="1"/>
  <c r="O37" i="70" s="1"/>
  <c r="D36" i="70"/>
  <c r="F36" i="70"/>
  <c r="N36" i="70"/>
  <c r="O36" i="70"/>
  <c r="D37" i="70"/>
  <c r="F37" i="70"/>
  <c r="M37" i="70"/>
  <c r="A38" i="70"/>
  <c r="E38" i="70" s="1"/>
  <c r="F38" i="70"/>
  <c r="H38" i="70"/>
  <c r="H39" i="70" s="1"/>
  <c r="H40" i="70" s="1"/>
  <c r="H41" i="70" s="1"/>
  <c r="H42" i="70" s="1"/>
  <c r="H43" i="70" s="1"/>
  <c r="H44" i="70" s="1"/>
  <c r="H45" i="70" s="1"/>
  <c r="H46" i="70" s="1"/>
  <c r="M38" i="70"/>
  <c r="M39" i="70"/>
  <c r="M40" i="70"/>
  <c r="M41" i="70"/>
  <c r="M42" i="70"/>
  <c r="M43" i="70"/>
  <c r="M44" i="70"/>
  <c r="M45" i="70"/>
  <c r="M46" i="70"/>
  <c r="B18" i="69"/>
  <c r="B37" i="69" s="1"/>
  <c r="C18" i="69"/>
  <c r="C37" i="69" s="1"/>
  <c r="D18" i="69"/>
  <c r="D37" i="69" s="1"/>
  <c r="F18" i="69"/>
  <c r="F37" i="69" s="1"/>
  <c r="K18" i="69"/>
  <c r="K37" i="69" s="1"/>
  <c r="L18" i="69"/>
  <c r="L37" i="69" s="1"/>
  <c r="I19" i="69"/>
  <c r="J19" i="69" s="1"/>
  <c r="A20" i="69"/>
  <c r="H20" i="69"/>
  <c r="A21" i="69"/>
  <c r="D19" i="69"/>
  <c r="C19" i="69"/>
  <c r="B19" i="69"/>
  <c r="A39" i="70"/>
  <c r="E39" i="70" s="1"/>
  <c r="AA22" i="76" l="1"/>
  <c r="AB22" i="76" s="1"/>
  <c r="AC22" i="76" s="1"/>
  <c r="AD22" i="76" s="1"/>
  <c r="AE22" i="76" s="1"/>
  <c r="AA14" i="76"/>
  <c r="AB14" i="76" s="1"/>
  <c r="AC14" i="76" s="1"/>
  <c r="AD14" i="76" s="1"/>
  <c r="AE14" i="76" s="1"/>
  <c r="AA6" i="76"/>
  <c r="AB6" i="76" s="1"/>
  <c r="AC6" i="76" s="1"/>
  <c r="AD6" i="76" s="1"/>
  <c r="AE6" i="76" s="1"/>
  <c r="AA21" i="76"/>
  <c r="AA13" i="76"/>
  <c r="AB13" i="76" s="1"/>
  <c r="AC13" i="76" s="1"/>
  <c r="AD13" i="76" s="1"/>
  <c r="AE13" i="76" s="1"/>
  <c r="AA5" i="76"/>
  <c r="AB5" i="76" s="1"/>
  <c r="AC5" i="76" s="1"/>
  <c r="AD5" i="76" s="1"/>
  <c r="AE5" i="76" s="1"/>
  <c r="AA20" i="76"/>
  <c r="AA12" i="76"/>
  <c r="AB12" i="76" s="1"/>
  <c r="AC12" i="76" s="1"/>
  <c r="AA4" i="76"/>
  <c r="AB4" i="76" s="1"/>
  <c r="AC4" i="76" s="1"/>
  <c r="AD4" i="76" s="1"/>
  <c r="AE4" i="76" s="1"/>
  <c r="AA8" i="76"/>
  <c r="AB8" i="76" s="1"/>
  <c r="AC8" i="76" s="1"/>
  <c r="AA7" i="76"/>
  <c r="AB7" i="76" s="1"/>
  <c r="AC7" i="76" s="1"/>
  <c r="AD7" i="76" s="1"/>
  <c r="AE7" i="76" s="1"/>
  <c r="AA27" i="76"/>
  <c r="AB27" i="76" s="1"/>
  <c r="AC27" i="76" s="1"/>
  <c r="AD27" i="76" s="1"/>
  <c r="AE27" i="76" s="1"/>
  <c r="AA19" i="76"/>
  <c r="AB19" i="76" s="1"/>
  <c r="AC19" i="76" s="1"/>
  <c r="AD19" i="76" s="1"/>
  <c r="AE19" i="76" s="1"/>
  <c r="AA11" i="76"/>
  <c r="AB11" i="76" s="1"/>
  <c r="AC11" i="76" s="1"/>
  <c r="AD11" i="76" s="1"/>
  <c r="AE11" i="76" s="1"/>
  <c r="AA16" i="76"/>
  <c r="AB16" i="76" s="1"/>
  <c r="AC16" i="76" s="1"/>
  <c r="AD16" i="76" s="1"/>
  <c r="AE16" i="76" s="1"/>
  <c r="AA23" i="76"/>
  <c r="AB23" i="76" s="1"/>
  <c r="AC23" i="76" s="1"/>
  <c r="AD23" i="76" s="1"/>
  <c r="AE23" i="76" s="1"/>
  <c r="AA26" i="76"/>
  <c r="AB26" i="76" s="1"/>
  <c r="AC26" i="76" s="1"/>
  <c r="AD26" i="76" s="1"/>
  <c r="AE26" i="76" s="1"/>
  <c r="AA18" i="76"/>
  <c r="AB18" i="76" s="1"/>
  <c r="AC18" i="76" s="1"/>
  <c r="AA10" i="76"/>
  <c r="AB10" i="76" s="1"/>
  <c r="AC10" i="76" s="1"/>
  <c r="AD10" i="76" s="1"/>
  <c r="AE10" i="76" s="1"/>
  <c r="AA24" i="76"/>
  <c r="AB24" i="76" s="1"/>
  <c r="AC24" i="76" s="1"/>
  <c r="AD24" i="76" s="1"/>
  <c r="AE24" i="76" s="1"/>
  <c r="AA25" i="76"/>
  <c r="AB25" i="76" s="1"/>
  <c r="AC25" i="76" s="1"/>
  <c r="AD25" i="76" s="1"/>
  <c r="AE25" i="76" s="1"/>
  <c r="AA17" i="76"/>
  <c r="AB17" i="76" s="1"/>
  <c r="AC17" i="76" s="1"/>
  <c r="AD17" i="76" s="1"/>
  <c r="AE17" i="76" s="1"/>
  <c r="AA9" i="76"/>
  <c r="AB9" i="76" s="1"/>
  <c r="AC9" i="76" s="1"/>
  <c r="AD9" i="76" s="1"/>
  <c r="AE9" i="76" s="1"/>
  <c r="AA15" i="76"/>
  <c r="AB15" i="76" s="1"/>
  <c r="AC15" i="76" s="1"/>
  <c r="AD15" i="76" s="1"/>
  <c r="AE15" i="76" s="1"/>
  <c r="AA3" i="76"/>
  <c r="AB3" i="76" s="1"/>
  <c r="AC3" i="76" s="1"/>
  <c r="AD3" i="76" s="1"/>
  <c r="AE3" i="76" s="1"/>
  <c r="N37" i="70"/>
  <c r="F39" i="70"/>
  <c r="M39" i="69"/>
  <c r="M40" i="69"/>
  <c r="M46" i="69"/>
  <c r="L41" i="69"/>
  <c r="L45" i="69"/>
  <c r="L42" i="69"/>
  <c r="L46" i="69"/>
  <c r="L44" i="69"/>
  <c r="L39" i="69"/>
  <c r="L43" i="69"/>
  <c r="L47" i="69"/>
  <c r="L40" i="69"/>
  <c r="L38" i="69"/>
  <c r="E21" i="69"/>
  <c r="E20" i="69"/>
  <c r="O39" i="69"/>
  <c r="O41" i="69"/>
  <c r="O43" i="69"/>
  <c r="O45" i="69"/>
  <c r="O47" i="69"/>
  <c r="O40" i="69"/>
  <c r="O42" i="69"/>
  <c r="O44" i="69"/>
  <c r="O46" i="69"/>
  <c r="O38" i="69"/>
  <c r="N19" i="69"/>
  <c r="B39" i="70"/>
  <c r="K39" i="70" s="1"/>
  <c r="B38" i="70"/>
  <c r="K38" i="70" s="1"/>
  <c r="N38" i="70"/>
  <c r="A40" i="70"/>
  <c r="D38" i="70"/>
  <c r="D39" i="70"/>
  <c r="N39" i="70" s="1"/>
  <c r="C39" i="70"/>
  <c r="O38" i="70"/>
  <c r="O39" i="70"/>
  <c r="I20" i="69"/>
  <c r="C38" i="70"/>
  <c r="L47" i="67"/>
  <c r="J26" i="67"/>
  <c r="K26" i="67"/>
  <c r="A22" i="69"/>
  <c r="I21" i="69"/>
  <c r="J21" i="69" s="1"/>
  <c r="F19" i="69"/>
  <c r="H21" i="69"/>
  <c r="Q27" i="67"/>
  <c r="C45" i="67" s="1"/>
  <c r="AD12" i="76" l="1"/>
  <c r="AE12" i="76" s="1"/>
  <c r="AD18" i="76"/>
  <c r="AE18" i="76" s="1"/>
  <c r="AD8" i="76"/>
  <c r="AE8" i="76" s="1"/>
  <c r="AE28" i="76" s="1"/>
  <c r="M42" i="69"/>
  <c r="M47" i="69"/>
  <c r="M45" i="69"/>
  <c r="M38" i="69"/>
  <c r="M43" i="69"/>
  <c r="M41" i="69"/>
  <c r="M44" i="69"/>
  <c r="E22" i="69"/>
  <c r="B22" i="69"/>
  <c r="F20" i="69"/>
  <c r="O20" i="69" s="1"/>
  <c r="O19" i="69"/>
  <c r="B20" i="69"/>
  <c r="K20" i="69" s="1"/>
  <c r="M19" i="69"/>
  <c r="B21" i="69"/>
  <c r="L19" i="69"/>
  <c r="F21" i="69"/>
  <c r="O21" i="69" s="1"/>
  <c r="J20" i="69"/>
  <c r="C21" i="69"/>
  <c r="L21" i="69" s="1"/>
  <c r="E40" i="70"/>
  <c r="B40" i="70"/>
  <c r="K40" i="70" s="1"/>
  <c r="A41" i="70"/>
  <c r="C40" i="70"/>
  <c r="D40" i="70"/>
  <c r="N40" i="70" s="1"/>
  <c r="F40" i="70"/>
  <c r="O40" i="70" s="1"/>
  <c r="C20" i="69"/>
  <c r="L20" i="69" s="1"/>
  <c r="N21" i="69"/>
  <c r="N20" i="69"/>
  <c r="K19" i="69"/>
  <c r="D45" i="67"/>
  <c r="D43" i="67"/>
  <c r="C26" i="67"/>
  <c r="E26" i="67"/>
  <c r="D26" i="67"/>
  <c r="G26" i="67"/>
  <c r="F26" i="67"/>
  <c r="C60" i="67"/>
  <c r="I26" i="67"/>
  <c r="H26" i="67"/>
  <c r="K21" i="69"/>
  <c r="H22" i="69"/>
  <c r="A23" i="69"/>
  <c r="E23" i="69" s="1"/>
  <c r="I22" i="69"/>
  <c r="J22" i="69" s="1"/>
  <c r="D22" i="69"/>
  <c r="F22" i="69"/>
  <c r="C22" i="69"/>
  <c r="D20" i="69"/>
  <c r="D21" i="69"/>
  <c r="M21" i="69" s="1"/>
  <c r="M20" i="69" l="1"/>
  <c r="M22" i="69"/>
  <c r="N22" i="69"/>
  <c r="E41" i="70"/>
  <c r="F41" i="70"/>
  <c r="O41" i="70" s="1"/>
  <c r="A42" i="70"/>
  <c r="D41" i="70"/>
  <c r="N41" i="70" s="1"/>
  <c r="C41" i="70"/>
  <c r="B41" i="70"/>
  <c r="K41" i="70" s="1"/>
  <c r="G27" i="67"/>
  <c r="L27" i="67"/>
  <c r="H23" i="69"/>
  <c r="O22" i="69"/>
  <c r="K22" i="69"/>
  <c r="L22" i="69"/>
  <c r="F23" i="69"/>
  <c r="D23" i="69"/>
  <c r="A24" i="69"/>
  <c r="E24" i="69" s="1"/>
  <c r="I23" i="69"/>
  <c r="J23" i="69" s="1"/>
  <c r="C23" i="69"/>
  <c r="B23" i="69"/>
  <c r="C62" i="67" l="1"/>
  <c r="H73" i="67" s="1"/>
  <c r="C47" i="67"/>
  <c r="D47" i="67" s="1"/>
  <c r="M58" i="67"/>
  <c r="F71" i="67"/>
  <c r="K56" i="67"/>
  <c r="H31" i="67"/>
  <c r="C46" i="67"/>
  <c r="E42" i="70"/>
  <c r="F42" i="70"/>
  <c r="O42" i="70" s="1"/>
  <c r="C42" i="70"/>
  <c r="B42" i="70"/>
  <c r="D42" i="70"/>
  <c r="N42" i="70" s="1"/>
  <c r="A43" i="70"/>
  <c r="M23" i="69"/>
  <c r="N23" i="69"/>
  <c r="I24" i="69"/>
  <c r="J24" i="69" s="1"/>
  <c r="A25" i="69"/>
  <c r="E25" i="69" s="1"/>
  <c r="F24" i="69"/>
  <c r="B24" i="69"/>
  <c r="D24" i="69"/>
  <c r="C24" i="69"/>
  <c r="H24" i="69"/>
  <c r="L23" i="69"/>
  <c r="K23" i="69"/>
  <c r="O23" i="69"/>
  <c r="G72" i="67" l="1"/>
  <c r="G74" i="67" s="1"/>
  <c r="L57" i="67"/>
  <c r="L59" i="67" s="1"/>
  <c r="C48" i="67"/>
  <c r="D48" i="67" s="1"/>
  <c r="D46" i="67"/>
  <c r="I31" i="67"/>
  <c r="F74" i="67"/>
  <c r="E70" i="67"/>
  <c r="E69" i="67"/>
  <c r="D70" i="67"/>
  <c r="H74" i="67"/>
  <c r="J54" i="67"/>
  <c r="I54" i="67"/>
  <c r="M59" i="67"/>
  <c r="K59" i="67"/>
  <c r="D69" i="67"/>
  <c r="J55" i="67"/>
  <c r="I55" i="67"/>
  <c r="K34" i="67"/>
  <c r="K36" i="67" s="1"/>
  <c r="L35" i="67"/>
  <c r="L36" i="67" s="1"/>
  <c r="J33" i="67"/>
  <c r="J36" i="67" s="1"/>
  <c r="I32" i="67"/>
  <c r="H32" i="67"/>
  <c r="H36" i="67" s="1"/>
  <c r="E43" i="70"/>
  <c r="B43" i="70"/>
  <c r="A44" i="70"/>
  <c r="F43" i="70"/>
  <c r="O43" i="70" s="1"/>
  <c r="D43" i="70"/>
  <c r="N43" i="70" s="1"/>
  <c r="C43" i="70"/>
  <c r="M24" i="69"/>
  <c r="N24" i="69"/>
  <c r="O24" i="69"/>
  <c r="L24" i="69"/>
  <c r="H25" i="69"/>
  <c r="K24" i="69"/>
  <c r="A26" i="69"/>
  <c r="D25" i="69"/>
  <c r="C25" i="69"/>
  <c r="I25" i="69"/>
  <c r="J25" i="69" s="1"/>
  <c r="B25" i="69"/>
  <c r="F25" i="69"/>
  <c r="E26" i="69" l="1"/>
  <c r="L25" i="69"/>
  <c r="J59" i="67"/>
  <c r="E74" i="67"/>
  <c r="I36" i="67"/>
  <c r="L37" i="67" s="1"/>
  <c r="I59" i="67"/>
  <c r="D74" i="67"/>
  <c r="E44" i="70"/>
  <c r="F44" i="70"/>
  <c r="O44" i="70" s="1"/>
  <c r="B44" i="70"/>
  <c r="C44" i="70"/>
  <c r="D44" i="70"/>
  <c r="N44" i="70" s="1"/>
  <c r="A45" i="70"/>
  <c r="M25" i="69"/>
  <c r="N25" i="69"/>
  <c r="K25" i="69"/>
  <c r="H26" i="69"/>
  <c r="O25" i="69"/>
  <c r="F26" i="69"/>
  <c r="I26" i="69"/>
  <c r="J26" i="69" s="1"/>
  <c r="C26" i="69"/>
  <c r="D26" i="69"/>
  <c r="B26" i="69"/>
  <c r="A27" i="69"/>
  <c r="E27" i="69" s="1"/>
  <c r="AB21" i="76" l="1"/>
  <c r="AC21" i="76" s="1"/>
  <c r="AD21" i="76" s="1"/>
  <c r="AE21" i="76" s="1"/>
  <c r="H75" i="67"/>
  <c r="M60" i="67"/>
  <c r="E45" i="70"/>
  <c r="B45" i="70"/>
  <c r="A46" i="70"/>
  <c r="F45" i="70"/>
  <c r="O45" i="70" s="1"/>
  <c r="D45" i="70"/>
  <c r="N45" i="70" s="1"/>
  <c r="C45" i="70"/>
  <c r="M26" i="69"/>
  <c r="N26" i="69"/>
  <c r="O26" i="69"/>
  <c r="L26" i="69"/>
  <c r="K26" i="69"/>
  <c r="H27" i="69"/>
  <c r="A28" i="69"/>
  <c r="E28" i="69" s="1"/>
  <c r="F27" i="69"/>
  <c r="D27" i="69"/>
  <c r="I27" i="69"/>
  <c r="J27" i="69" s="1"/>
  <c r="C27" i="69"/>
  <c r="B27" i="69"/>
  <c r="C44" i="67" l="1"/>
  <c r="C49" i="67" s="1"/>
  <c r="D49" i="67" s="1"/>
  <c r="I75" i="67"/>
  <c r="C52" i="67" s="1"/>
  <c r="D52" i="67" s="1"/>
  <c r="M27" i="69"/>
  <c r="N27" i="69"/>
  <c r="E46" i="70"/>
  <c r="B46" i="70"/>
  <c r="D46" i="70"/>
  <c r="N46" i="70" s="1"/>
  <c r="C46" i="70"/>
  <c r="F46" i="70"/>
  <c r="O46" i="70" s="1"/>
  <c r="K27" i="69"/>
  <c r="O27" i="69"/>
  <c r="H28" i="69"/>
  <c r="L27" i="69"/>
  <c r="I28" i="69"/>
  <c r="J28" i="69" s="1"/>
  <c r="C28" i="69"/>
  <c r="B28" i="69"/>
  <c r="F28" i="69"/>
  <c r="A29" i="69"/>
  <c r="E29" i="69" s="1"/>
  <c r="D28" i="69"/>
  <c r="C53" i="67" l="1"/>
  <c r="D53" i="67" s="1"/>
  <c r="D44" i="67"/>
  <c r="C50" i="67"/>
  <c r="M28" i="69"/>
  <c r="N28" i="69"/>
  <c r="C29" i="69"/>
  <c r="B29" i="69"/>
  <c r="J29" i="69"/>
  <c r="D29" i="69"/>
  <c r="F29" i="69"/>
  <c r="AB20" i="76" s="1"/>
  <c r="AC20" i="76" s="1"/>
  <c r="AD20" i="76" s="1"/>
  <c r="AE20" i="76" s="1"/>
  <c r="AE29" i="76" s="1"/>
  <c r="H29" i="69"/>
  <c r="O28" i="69"/>
  <c r="L28" i="69"/>
  <c r="K28" i="69"/>
  <c r="D50" i="67" l="1"/>
  <c r="C54" i="67" l="1"/>
  <c r="C55" i="67" s="1"/>
  <c r="D55" i="67" s="1"/>
  <c r="D54" i="6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tc={561A2B8E-F666-42E8-9152-32DD5DF2989C}</author>
    <author>Elliot, Craig</author>
  </authors>
  <commentList>
    <comment ref="O2" authorId="0" shapeId="0" xr:uid="{561A2B8E-F666-42E8-9152-32DD5DF2989C}">
      <text>
        <t>[Threaded comment]
Your version of Excel allows you to read this threaded comment; however, any edits to it will get removed if the file is opened in a newer version of Excel. Learn more: https://go.microsoft.com/fwlink/?linkid=870924
Comment:
    RV used here is derived from P (not PP) to avoid circular reference in BCPM)</t>
      </text>
    </comment>
    <comment ref="U2" authorId="1" shapeId="0" xr:uid="{6056E9FC-B79B-4DE7-BC55-5B6A18624C25}">
      <text>
        <r>
          <rPr>
            <sz val="9"/>
            <color indexed="81"/>
            <rFont val="Tahoma"/>
            <family val="2"/>
          </rPr>
          <t xml:space="preserve">
For the latest interest rate, please refer to the Commonwealth Bank Variable Base Rate – other than residential security at:
https://www.commbank.com.au/business/rates-fees.html</t>
        </r>
      </text>
    </comment>
    <comment ref="Z2" authorId="1" shapeId="0" xr:uid="{C9105113-87FD-4842-9DDB-F5A2A81F5C52}">
      <text>
        <r>
          <rPr>
            <sz val="9"/>
            <color indexed="81"/>
            <rFont val="Tahoma"/>
            <family val="2"/>
          </rPr>
          <t xml:space="preserve">This is the value (in whole $) of the Approved Vehicle that was declared when you became the Registered Operator for the purpose of vehicle registration.
</t>
        </r>
      </text>
    </comment>
    <comment ref="AC2" authorId="1" shapeId="0" xr:uid="{BBE0DB4B-E4D1-491E-A664-CC45F58245F8}">
      <text>
        <r>
          <rPr>
            <sz val="9"/>
            <color indexed="81"/>
            <rFont val="Tahoma"/>
            <family val="2"/>
          </rPr>
          <t xml:space="preserve">Adjusted where applicable in accordance with clauses 13.2(c)(ii) &amp; 13.3(d)(ii) of the BCPM-GA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Kruup, Peter</author>
  </authors>
  <commentList>
    <comment ref="D52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Kruup, Peter:</t>
        </r>
        <r>
          <rPr>
            <sz val="9"/>
            <color indexed="81"/>
            <rFont val="Tahoma"/>
            <family val="2"/>
          </rPr>
          <t xml:space="preserve">
Is this an average rate based on the fact that only a proportion of the fleet will be used on weekends ie not every bus would b ecleaned on both days but on average 1 bus is cleaned per weekend day ideally on Saturday.
In a number of cases buses can be cleaned using undertime. Other times a cleaner would be required.</t>
        </r>
      </text>
    </comment>
    <comment ref="E121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Kruup, Peter:</t>
        </r>
        <r>
          <rPr>
            <sz val="9"/>
            <color indexed="81"/>
            <rFont val="Tahoma"/>
            <family val="2"/>
          </rPr>
          <t xml:space="preserve">
This may be accurately determined after all bus stops are mapped</t>
        </r>
      </text>
    </comment>
    <comment ref="E125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Kruup, Peter:</t>
        </r>
        <r>
          <rPr>
            <sz val="9"/>
            <color indexed="81"/>
            <rFont val="Tahoma"/>
            <family val="2"/>
          </rPr>
          <t xml:space="preserve">
This may be accurately determined after all bus stops are mapped</t>
        </r>
      </text>
    </comment>
  </commentList>
</comments>
</file>

<file path=xl/sharedStrings.xml><?xml version="1.0" encoding="utf-8"?>
<sst xmlns="http://schemas.openxmlformats.org/spreadsheetml/2006/main" count="544" uniqueCount="315">
  <si>
    <t xml:space="preserve">   Registration</t>
  </si>
  <si>
    <t xml:space="preserve">   MAIB</t>
  </si>
  <si>
    <t>Ticket system</t>
  </si>
  <si>
    <t xml:space="preserve">   Number of machines</t>
  </si>
  <si>
    <t>Bus stop sign maintenance</t>
  </si>
  <si>
    <t>T/table sign maintenance</t>
  </si>
  <si>
    <t>CCTV costs</t>
  </si>
  <si>
    <t>Depot/garaging costs</t>
  </si>
  <si>
    <t>Bus cleaning</t>
  </si>
  <si>
    <t>Administration Costs</t>
  </si>
  <si>
    <t xml:space="preserve">    Maint cost per bus</t>
  </si>
  <si>
    <t xml:space="preserve">         Number of weeks</t>
  </si>
  <si>
    <t xml:space="preserve">     Consumables/bus</t>
  </si>
  <si>
    <t xml:space="preserve">    Number of signs</t>
  </si>
  <si>
    <t xml:space="preserve">    Number of posters</t>
  </si>
  <si>
    <t xml:space="preserve">    Cost per poster</t>
  </si>
  <si>
    <t xml:space="preserve">    Total</t>
  </si>
  <si>
    <t xml:space="preserve">   Machine maintenance pa</t>
  </si>
  <si>
    <t xml:space="preserve">   Machine supplies pa</t>
  </si>
  <si>
    <t>Timetable printing/distribution pa</t>
  </si>
  <si>
    <t xml:space="preserve">     Driver hours (cleaning)</t>
  </si>
  <si>
    <t xml:space="preserve">         Hours per week/bus</t>
  </si>
  <si>
    <t xml:space="preserve">    Cost per sign pa</t>
  </si>
  <si>
    <t>Total Corridor Specific Costs</t>
  </si>
  <si>
    <t>45 minutes per day per bus 6 days/week</t>
  </si>
  <si>
    <t xml:space="preserve">     Number hours</t>
  </si>
  <si>
    <t xml:space="preserve">   Vehicle Inspection fees</t>
  </si>
  <si>
    <t>$ / Km</t>
  </si>
  <si>
    <t>Fixed Bus Costs</t>
  </si>
  <si>
    <t>Comment</t>
  </si>
  <si>
    <t>Corridor specific costs (Miscellaneous)</t>
  </si>
  <si>
    <t>Public Liability $20m</t>
  </si>
  <si>
    <t xml:space="preserve">Driver wages (PVTA 2010, Grade 4, Casual)  </t>
  </si>
  <si>
    <t xml:space="preserve">Saturday Casual Rate </t>
  </si>
  <si>
    <t xml:space="preserve">Weekday Casual Rate </t>
  </si>
  <si>
    <t xml:space="preserve">  Saturday</t>
  </si>
  <si>
    <t>Includes Actual &amp; Relief Drivers</t>
  </si>
  <si>
    <t xml:space="preserve">CORRIDOR: </t>
  </si>
  <si>
    <t>Inputs</t>
  </si>
  <si>
    <t>Wage on-costs</t>
  </si>
  <si>
    <t>NO</t>
  </si>
  <si>
    <t xml:space="preserve"> Workers Compensation</t>
  </si>
  <si>
    <t xml:space="preserve"> Superanuation</t>
  </si>
  <si>
    <t xml:space="preserve"> Long Service Leave </t>
  </si>
  <si>
    <t xml:space="preserve"> Computer/IT expenses pa</t>
  </si>
  <si>
    <t xml:space="preserve"> Communication Allowance (Office)</t>
  </si>
  <si>
    <t xml:space="preserve"> Communication Allowance (Bus to Base)</t>
  </si>
  <si>
    <t xml:space="preserve"> Office Equpt. &amp; Maintenance</t>
  </si>
  <si>
    <t>Per bus allowance for mobile phone or 2-way radio</t>
  </si>
  <si>
    <t>Per Bus</t>
  </si>
  <si>
    <t xml:space="preserve"> Bank &amp; Cash Handling </t>
  </si>
  <si>
    <t xml:space="preserve"> Admin Consumables</t>
  </si>
  <si>
    <t>Total</t>
  </si>
  <si>
    <t xml:space="preserve">GENERAL ACCESS CONTRACT PAYMENT CALCULATION </t>
  </si>
  <si>
    <t>NOTE: Based on Extra Large Bus costs and New Approved Vehecles</t>
  </si>
  <si>
    <t>Costs (Ex GST)</t>
  </si>
  <si>
    <t>2B2 Class Registration  - Paid Annually</t>
  </si>
  <si>
    <t>Premium Class 7 - Paid Annually</t>
  </si>
  <si>
    <t xml:space="preserve">   Comprehensive ins (Approved Vehicles)</t>
  </si>
  <si>
    <t>1.5% vehicle value - Min $1,046.00 - Paid Annually</t>
  </si>
  <si>
    <t>$207 / inspection / bus /yr + 3 hrs @ weekday driver wage + wage on cost (based on bus &lt;15 yrs)</t>
  </si>
  <si>
    <t>Includes maintenance, insurance and operating costs</t>
  </si>
  <si>
    <t>Per hr cost, 0.2 FTE - Casual rate, Level 4 Clerk - Clerks Private Sector Award 2010</t>
  </si>
  <si>
    <t>Total Administration Costs</t>
  </si>
  <si>
    <t>Vehicle Running Costs</t>
  </si>
  <si>
    <t>Base</t>
  </si>
  <si>
    <t>Fuel price (Ex GST) less DFGS / 2.38 km/l (Base GA tier 2 fuel burn rate - 42 lt/100Km)</t>
  </si>
  <si>
    <t>DEF (AdBlue)</t>
  </si>
  <si>
    <t>Per kilometre fuel rate calculated using 5 litres per 100km @ $1.15 per litre.</t>
  </si>
  <si>
    <t xml:space="preserve">  Weekday 6am to 7pm</t>
  </si>
  <si>
    <t xml:space="preserve">  Weekday before 6am or after 7pm</t>
  </si>
  <si>
    <t>Operation Management / Supervisor</t>
  </si>
  <si>
    <t xml:space="preserve"> Driver Wage Allowances</t>
  </si>
  <si>
    <t xml:space="preserve">= Number of Stops on route </t>
  </si>
  <si>
    <t>Hourly Rate</t>
  </si>
  <si>
    <t>Hours Per week</t>
  </si>
  <si>
    <t>Admin Wages</t>
  </si>
  <si>
    <t>Weeks Per Year</t>
  </si>
  <si>
    <t>Admin - Casual rate, Level 4 Clerk - Clerks Private Sector Award 2010</t>
  </si>
  <si>
    <t>1 Day per week (0.2 FTE) per 38 hour week</t>
  </si>
  <si>
    <t>Total Fixed Costs Per Bus</t>
  </si>
  <si>
    <t>Fuel Cost per litre</t>
  </si>
  <si>
    <t>Diesel Fuel Rebate</t>
  </si>
  <si>
    <t>Fuel Consumption per (l/km)</t>
  </si>
  <si>
    <t>Portion Fleet AdBlue</t>
  </si>
  <si>
    <t>Ad Blue Cost per litre</t>
  </si>
  <si>
    <t>Ad Blue Consumption per km</t>
  </si>
  <si>
    <t>Ad blue Cost per KM</t>
  </si>
  <si>
    <t>Note: This is the price per kilometre multiplied by the portion of fleet using AdBlue (transition arrangement)</t>
  </si>
  <si>
    <t>Fuel cost per km</t>
  </si>
  <si>
    <t xml:space="preserve"> Other Variable Operating Costs (per/km)</t>
  </si>
  <si>
    <t>Total Cost per KM</t>
  </si>
  <si>
    <t>With On Costs</t>
  </si>
  <si>
    <t>Training Costs ($300 per 8 hour day)</t>
  </si>
  <si>
    <t>Number of Drivers per vehicle</t>
  </si>
  <si>
    <t>Fire safety inspection</t>
  </si>
  <si>
    <t>Training hours pa.</t>
  </si>
  <si>
    <t>Total Training Costs per vehicle</t>
  </si>
  <si>
    <t>Supervisor - Weekday Casual Rate (PVTA 2010, Grade 6)</t>
  </si>
  <si>
    <t>Hours per year</t>
  </si>
  <si>
    <t>Operator's Margin</t>
  </si>
  <si>
    <t>Performance Margin</t>
  </si>
  <si>
    <t>Base Margin (Including Accounting Fees)</t>
  </si>
  <si>
    <t>Total Margin</t>
  </si>
  <si>
    <t>Bus Capital Cost (exc GST)</t>
  </si>
  <si>
    <t xml:space="preserve">Max purchase age </t>
  </si>
  <si>
    <t>Min Age</t>
  </si>
  <si>
    <t>Out of Payment Age</t>
  </si>
  <si>
    <t>Maximum Purchase Age</t>
  </si>
  <si>
    <t xml:space="preserve">Mandatory Disposal Age </t>
  </si>
  <si>
    <t xml:space="preserve">Capped Entry Value (Ex GST) </t>
  </si>
  <si>
    <t xml:space="preserve">Over Life Refurbishment Allowance </t>
  </si>
  <si>
    <t>Capital Allowance</t>
  </si>
  <si>
    <t>Residual Value</t>
  </si>
  <si>
    <t>Annual Decrease in Value</t>
  </si>
  <si>
    <t>Cost of Finance</t>
  </si>
  <si>
    <t>Cost of Equity Capital</t>
  </si>
  <si>
    <t>% Debt Financed</t>
  </si>
  <si>
    <t>Weighted Cost of Capital</t>
  </si>
  <si>
    <t>* Provisional figures for bus capital cost only.  Subject to change prior to offer of Passenger Service Contract</t>
  </si>
  <si>
    <t xml:space="preserve">Bus Age at Purchase </t>
  </si>
  <si>
    <t>Bus age at purchase</t>
  </si>
  <si>
    <t>nper</t>
  </si>
  <si>
    <t>Totals</t>
  </si>
  <si>
    <t>Per Bus ($50 more than School Bus)</t>
  </si>
  <si>
    <t>Same as schools</t>
  </si>
  <si>
    <t>Total Vehicle Fixed Costs</t>
  </si>
  <si>
    <t>Accounting Costs</t>
  </si>
  <si>
    <t>Alternative Vehicle Allowance</t>
  </si>
  <si>
    <t>10 year old Alternative Vehicle costs</t>
  </si>
  <si>
    <t>Ratio of Alternative Vehicle use</t>
  </si>
  <si>
    <t>This is an estiamte of capital, registration and other costs.  It will be up to the operator to determine how to balance this in their situation</t>
  </si>
  <si>
    <t>annual maintenance cost estimate</t>
  </si>
  <si>
    <t>Vehicle Costs (Rego/checks etc.)</t>
  </si>
  <si>
    <t>Other</t>
  </si>
  <si>
    <t>$100 more per year than school buses to account for higher frequency of washing</t>
  </si>
  <si>
    <t>$500 / bus</t>
  </si>
  <si>
    <t>1/2 day / bus per week (0.1 FTE) per 38 hour week</t>
  </si>
  <si>
    <t>Service Details</t>
  </si>
  <si>
    <t>GST Exclusive</t>
  </si>
  <si>
    <t>Required Bus Size</t>
  </si>
  <si>
    <t>Please Select</t>
  </si>
  <si>
    <t>Reg No.</t>
  </si>
  <si>
    <t>Transition</t>
  </si>
  <si>
    <t>Current Capital Pmt (ex GST)</t>
  </si>
  <si>
    <t>Year of Manufacture</t>
  </si>
  <si>
    <t>Size</t>
  </si>
  <si>
    <t>Fuel Region</t>
  </si>
  <si>
    <t>Tier 2</t>
  </si>
  <si>
    <t>Fuel Step</t>
  </si>
  <si>
    <t>No. Approved Vehicles using DEF?</t>
  </si>
  <si>
    <t>Variable Running Allowance Per Km (Bus)</t>
  </si>
  <si>
    <t xml:space="preserve">Shuttle Vehicle Allowance Per Km </t>
  </si>
  <si>
    <t xml:space="preserve">Fixed Allowance per Approved Vehicle </t>
  </si>
  <si>
    <t>Uniform Allowance / driver</t>
  </si>
  <si>
    <t>Description</t>
  </si>
  <si>
    <t>Saturdays</t>
  </si>
  <si>
    <t>GST Inclusive</t>
  </si>
  <si>
    <t>Annual Service Fee</t>
  </si>
  <si>
    <t>Fixed  Vehicle Allowance</t>
  </si>
  <si>
    <t>Shuttle Vehicle Allowance</t>
  </si>
  <si>
    <t>Total Annual Service Fee</t>
  </si>
  <si>
    <t>Total Annual Capital Allowance</t>
  </si>
  <si>
    <t xml:space="preserve">NOTE: These are provisional allowance rates only (effective July 2018) and are subject to change prior to offer of a Passenger Service Contract. </t>
  </si>
  <si>
    <t>Annual Contract Amount</t>
  </si>
  <si>
    <t>Passenger Service Contract Amount Calculation</t>
  </si>
  <si>
    <t>Per Driver per vehicle</t>
  </si>
  <si>
    <t>Shuttle Vehicle / Km</t>
  </si>
  <si>
    <t>Small</t>
  </si>
  <si>
    <t>Bus Age</t>
  </si>
  <si>
    <t xml:space="preserve">Bus age </t>
  </si>
  <si>
    <t xml:space="preserve">Capital rate currently paid  per PAX </t>
  </si>
  <si>
    <t>General Access -  Small (Assumend  PAX = 8,730)</t>
  </si>
  <si>
    <t>Annual capital payments</t>
  </si>
  <si>
    <t xml:space="preserve">Capped Entry Value including $10k (Small) $50k (Rigid &amp; Artic) refurbishment (Ex GST) </t>
  </si>
  <si>
    <t xml:space="preserve">Capital Allowance </t>
  </si>
  <si>
    <t>10 YEARS OR LESS</t>
  </si>
  <si>
    <t>GREATER THAN 10 YEARS</t>
  </si>
  <si>
    <t>General Access -  (Assumend  PAX = 18,185)</t>
  </si>
  <si>
    <t xml:space="preserve">Driver Training Costs </t>
  </si>
  <si>
    <t xml:space="preserve">Based on annual turnover of $200k </t>
  </si>
  <si>
    <t>= $1.45 - 0.154 / 2.38 km/l</t>
  </si>
  <si>
    <t>Total Shuttle Vehicle Km</t>
  </si>
  <si>
    <t>Variable Running Allowance Rate</t>
  </si>
  <si>
    <t>Drug &amp; Alc Testing</t>
  </si>
  <si>
    <t xml:space="preserve">Sundays </t>
  </si>
  <si>
    <t>Public Holidays</t>
  </si>
  <si>
    <t>Medium</t>
  </si>
  <si>
    <t>X-Large</t>
  </si>
  <si>
    <t>Weekday (6am to 7pm)</t>
  </si>
  <si>
    <t xml:space="preserve">Weekday (Before 6am &amp; After 7pm) </t>
  </si>
  <si>
    <t xml:space="preserve"> Saturdays</t>
  </si>
  <si>
    <t xml:space="preserve"> Public Holidays</t>
  </si>
  <si>
    <t xml:space="preserve">  Sunday </t>
  </si>
  <si>
    <t xml:space="preserve">Sunday Casual rate </t>
  </si>
  <si>
    <t>public hol Casual rate</t>
  </si>
  <si>
    <t>Spare Vehicle Allowance Type</t>
  </si>
  <si>
    <t>Total Time</t>
  </si>
  <si>
    <t>Total Loaded Bus Km</t>
  </si>
  <si>
    <t xml:space="preserve">Total Unloaded Km </t>
  </si>
  <si>
    <t xml:space="preserve">Total </t>
  </si>
  <si>
    <t xml:space="preserve">Pre &amp; Post inspection </t>
  </si>
  <si>
    <t>Sunday</t>
  </si>
  <si>
    <t xml:space="preserve"> Saturday</t>
  </si>
  <si>
    <t>Business Days (School Days)</t>
  </si>
  <si>
    <t>Business Days (School Holidays)</t>
  </si>
  <si>
    <t>PSC Reference No.</t>
  </si>
  <si>
    <t>Pay only Driver Wage Component of Shuttle Vehicle Km?</t>
  </si>
  <si>
    <t>Total Annual Driver Wages</t>
  </si>
  <si>
    <t xml:space="preserve">Weekday Casual Rate for prior to 6am and after 7pm </t>
  </si>
  <si>
    <t>12% Weekend / Pub Hol Allowance</t>
  </si>
  <si>
    <t>Annual Driver Wages (Inc. On Costs &amp; Allowances)</t>
  </si>
  <si>
    <t>No, Drivers</t>
  </si>
  <si>
    <t>Total Layover Time (Hours)</t>
  </si>
  <si>
    <t>Number of Days per Year</t>
  </si>
  <si>
    <t>Route Type</t>
  </si>
  <si>
    <t>Artic</t>
  </si>
  <si>
    <t>Weekend / Pub Hol Loading</t>
  </si>
  <si>
    <t xml:space="preserve">Approved Vehicle or Rotational Spare </t>
  </si>
  <si>
    <t>Large</t>
  </si>
  <si>
    <t>Approved Vehicles</t>
  </si>
  <si>
    <t>Rotational Spares</t>
  </si>
  <si>
    <t xml:space="preserve">Fixed Allowance per Rotational Vehicle </t>
  </si>
  <si>
    <t xml:space="preserve"> No. Rotational Spare Vehicles (where required)</t>
  </si>
  <si>
    <t>Annual Shuttle Vehicle Kilometres</t>
  </si>
  <si>
    <t>Annual Layover Time (Hours)</t>
  </si>
  <si>
    <t xml:space="preserve">Time </t>
  </si>
  <si>
    <t xml:space="preserve">Kilometres </t>
  </si>
  <si>
    <t>Item</t>
  </si>
  <si>
    <t xml:space="preserve">Annual Amount </t>
  </si>
  <si>
    <t>Other Agreed Annual Allowances</t>
  </si>
  <si>
    <t>Total Bus Stop Sign Maintenance</t>
  </si>
  <si>
    <t>Bus Stop Sign Maintenance</t>
  </si>
  <si>
    <t>Number of Approved Vehicles (Peak)</t>
  </si>
  <si>
    <t xml:space="preserve">Margin </t>
  </si>
  <si>
    <t>Annual Loaded Bus Kilometres</t>
  </si>
  <si>
    <t>Annual Unloaded Bus Kilometres</t>
  </si>
  <si>
    <t>Assumed Number of Days per Year</t>
  </si>
  <si>
    <t>Wages</t>
  </si>
  <si>
    <t>Total Fixed Costs per Rotational Bus</t>
  </si>
  <si>
    <t>Annual Unloaded Travel Time Allowance (Hours)</t>
  </si>
  <si>
    <t>Total Annual Unloaded Travel Time Allowance (Hours)</t>
  </si>
  <si>
    <t>Annual Shuttle Vehicle Time Allowance (Hours)</t>
  </si>
  <si>
    <t>Total Annual Shuttle Vehicle Travel Time Allowance (Hours)</t>
  </si>
  <si>
    <t>Annual Loaded Time (Hours)</t>
  </si>
  <si>
    <t xml:space="preserve"> Total Annual Loaded Time (Hours)</t>
  </si>
  <si>
    <t>Automated Washing Allowance</t>
  </si>
  <si>
    <t xml:space="preserve">Paid at 50% weekday &amp; 50% Saturday driverwage rate </t>
  </si>
  <si>
    <t>Assumed Average Speed (Km/h)</t>
  </si>
  <si>
    <t>Articulated</t>
  </si>
  <si>
    <t>Step 1</t>
  </si>
  <si>
    <t>Other variable operating costs per km</t>
  </si>
  <si>
    <t>Non-Urban</t>
  </si>
  <si>
    <t>% Approved Vehicles using DEF?</t>
  </si>
  <si>
    <t>Standard</t>
  </si>
  <si>
    <t>Ticketing System Allowance</t>
  </si>
  <si>
    <t xml:space="preserve">Performance Bonus </t>
  </si>
  <si>
    <t>Driver Time (Including % Allowances)</t>
  </si>
  <si>
    <t>* Allowance percentages are applied in accordance with clause 9.2 of the Bus Contract Payment Model - General Access Bus Services</t>
  </si>
  <si>
    <t>No Alternative Vehicles receiving Ticket System Allowance</t>
  </si>
  <si>
    <t>Variable Operating Costs</t>
  </si>
  <si>
    <t>Annual Fuel Allowance</t>
  </si>
  <si>
    <t>Loading Allowance</t>
  </si>
  <si>
    <t>Additional Workers Comp (DW ONLY)</t>
  </si>
  <si>
    <t>Additional Worker Compensation %</t>
  </si>
  <si>
    <t>Additional W/Comp</t>
  </si>
  <si>
    <t xml:space="preserve">Driver Wages </t>
  </si>
  <si>
    <t>Other Agreed Annual Allowances (Incl. Additional W/Comp)</t>
  </si>
  <si>
    <t>Interest Rate</t>
  </si>
  <si>
    <t xml:space="preserve">Annual capital payments </t>
  </si>
  <si>
    <t>Purchase Price (ex GST)</t>
  </si>
  <si>
    <t>Adjusted Purchase Price (Ex GST)</t>
  </si>
  <si>
    <t>DO NOT APPLY WHEN THE INTEREST RATE CHANGES</t>
  </si>
  <si>
    <t>Approved Vehicle</t>
  </si>
  <si>
    <t>Rotational Spare</t>
  </si>
  <si>
    <t>**Based on 13.2(b) the RV needs to vary based on PP</t>
  </si>
  <si>
    <t>Time Block</t>
  </si>
  <si>
    <t>Annual Loaded Kilometres</t>
  </si>
  <si>
    <t>Annual Loaded Travel Time (Hours)</t>
  </si>
  <si>
    <t>Annual Unloaded Kilometres</t>
  </si>
  <si>
    <t>Annual Unloaded Travel Time (Hours)</t>
  </si>
  <si>
    <t>Annual Shuttle Vehicle Travel Time (Hours)</t>
  </si>
  <si>
    <t>Time Block 1 (Saturday)</t>
  </si>
  <si>
    <t>Time Block 2 (Sunday)</t>
  </si>
  <si>
    <t>Time Block 3 (Public Holiday)</t>
  </si>
  <si>
    <t>Time Block 4 (Weekday before 6:00am and after 7:00pm)</t>
  </si>
  <si>
    <t>Time Block 5 (Weekday between 6:00am and 7:00pm)</t>
  </si>
  <si>
    <t>School Days</t>
  </si>
  <si>
    <t>TOTALS</t>
  </si>
  <si>
    <t>Time and Kilometres</t>
  </si>
  <si>
    <t>School Day 
Holidays</t>
  </si>
  <si>
    <t>Debt Funded (DF)</t>
  </si>
  <si>
    <t>Operator Equity (OE)</t>
  </si>
  <si>
    <t>Weighted Average Cost of Capital (WACC)</t>
  </si>
  <si>
    <t>Residual Value (RV)</t>
  </si>
  <si>
    <t>NP</t>
  </si>
  <si>
    <t>Capital Pmt?</t>
  </si>
  <si>
    <t>Purchase Date</t>
  </si>
  <si>
    <t>Approval Date</t>
  </si>
  <si>
    <t>Year of Request</t>
  </si>
  <si>
    <t>Year of Approval</t>
  </si>
  <si>
    <t>Previous commercial use?</t>
  </si>
  <si>
    <t>BA1</t>
  </si>
  <si>
    <t>BA2</t>
  </si>
  <si>
    <t>Bus Age at Approval</t>
  </si>
  <si>
    <t>Current Bus Age</t>
  </si>
  <si>
    <t>Value of A</t>
  </si>
  <si>
    <t>Capped Entry Value</t>
  </si>
  <si>
    <t>Col lookup</t>
  </si>
  <si>
    <t>Bus Details - Fleet 2.0</t>
  </si>
  <si>
    <t>Month of purchase</t>
  </si>
  <si>
    <t>Year of purchase</t>
  </si>
  <si>
    <t>Month of approval</t>
  </si>
  <si>
    <t>Apply A?</t>
  </si>
  <si>
    <t>Simplified Capital Pmt 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</si>
</sst>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[Red]\(&quot;$&quot;#,##0\)"/>
    <numFmt numFmtId="165" formatCode="&quot;$&quot;#,##0.00"/>
    <numFmt numFmtId="166" formatCode="&quot;$&quot;#,##0"/>
    <numFmt numFmtId="167" formatCode="&quot;$&quot;#,##0.000"/>
    <numFmt numFmtId="168" formatCode="0.0%"/>
    <numFmt numFmtId="169" formatCode="0.0"/>
    <numFmt numFmtId="170" formatCode="_-* #,##0_-;\-* #,##0_-;_-* &quot;-&quot;??_-;_-@_-"/>
    <numFmt numFmtId="171" formatCode="&quot;$&quot;#,##0.0000"/>
    <numFmt numFmtId="172" formatCode="_(&quot;$&quot;* #,##0_);_(&quot;$&quot;* \(#,##0\);_(&quot;$&quot;* &quot;-&quot;??_);_(@_)"/>
    <numFmt numFmtId="173" formatCode="&quot;$&quot;#,##0.00_);[Red]\(&quot;$&quot;#,##0.00\)"/>
    <numFmt numFmtId="174" formatCode="0.00000%"/>
  </numFmts>
  <fonts count="4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Arial"/>
      <family val="2"/>
    </font>
    <font>
      <sz val="10"/>
      <name val="MS Sans Serif"/>
    </font>
    <font>
      <b/>
      <sz val="10"/>
      <name val="Trebuchet MS"/>
      <family val="2"/>
    </font>
    <font>
      <sz val="10"/>
      <name val="Trebuchet MS"/>
      <family val="2"/>
    </font>
    <font>
      <b/>
      <i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0"/>
      <color rgb="FF7030A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3" tint="0.39997558519241921"/>
      <name val="Arial"/>
      <family val="2"/>
    </font>
    <font>
      <b/>
      <sz val="10"/>
      <color theme="3" tint="0.39997558519241921"/>
      <name val="Arial"/>
      <family val="2"/>
    </font>
    <font>
      <b/>
      <sz val="11"/>
      <color theme="1"/>
      <name val="Arial"/>
      <family val="2"/>
    </font>
    <font>
      <b/>
      <sz val="10"/>
      <color theme="4" tint="-0.499984740745262"/>
      <name val="Arial"/>
      <family val="2"/>
    </font>
    <font>
      <sz val="12"/>
      <color theme="0"/>
      <name val="Calibri"/>
      <family val="2"/>
      <scheme val="minor"/>
    </font>
    <font>
      <b/>
      <sz val="14"/>
      <color rgb="FFFF0000"/>
      <name val="Arial"/>
      <family val="2"/>
    </font>
    <font>
      <b/>
      <sz val="11"/>
      <color rgb="FFFF0000"/>
      <name val="Arial"/>
      <family val="2"/>
    </font>
    <font>
      <sz val="12"/>
      <color rgb="FFFF0000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color theme="0" tint="-0.34998626667073579"/>
      <name val="Arial"/>
      <family val="2"/>
    </font>
    <font>
      <i/>
      <sz val="10"/>
      <color theme="4" tint="-0.49998474074526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gray125">
        <bgColor theme="4" tint="0.79998168889431442"/>
      </patternFill>
    </fill>
    <fill>
      <patternFill patternType="gray125">
        <bgColor theme="7" tint="0.79998168889431442"/>
      </patternFill>
    </fill>
    <fill>
      <patternFill patternType="solid">
        <fgColor theme="0" tint="-0.49998474074526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5">
    <xf numFmtId="0" fontId="0" fillId="0" borderId="0"/>
    <xf numFmtId="0" fontId="15" fillId="2" borderId="0" applyNumberFormat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0" borderId="31" applyNumberFormat="0" applyFill="0" applyAlignment="0" applyProtection="0"/>
    <xf numFmtId="0" fontId="16" fillId="0" borderId="0"/>
    <xf numFmtId="0" fontId="19" fillId="0" borderId="0"/>
    <xf numFmtId="0" fontId="10" fillId="0" borderId="0"/>
    <xf numFmtId="0" fontId="14" fillId="0" borderId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486">
    <xf numFmtId="0" fontId="0" fillId="0" borderId="0" xfId="0"/>
    <xf numFmtId="0" fontId="2" fillId="0" borderId="0" xfId="0" applyFont="1" applyFill="1"/>
    <xf numFmtId="0" fontId="0" fillId="0" borderId="0" xfId="0" applyFill="1"/>
    <xf numFmtId="165" fontId="0" fillId="0" borderId="0" xfId="0" applyNumberFormat="1" applyFill="1"/>
    <xf numFmtId="165" fontId="0" fillId="0" borderId="0" xfId="0" applyNumberFormat="1" applyFill="1" applyAlignment="1">
      <alignment horizontal="center"/>
    </xf>
    <xf numFmtId="0" fontId="5" fillId="0" borderId="0" xfId="0" applyFont="1" applyFill="1"/>
    <xf numFmtId="1" fontId="0" fillId="0" borderId="0" xfId="0" applyNumberFormat="1" applyFill="1"/>
    <xf numFmtId="10" fontId="0" fillId="0" borderId="0" xfId="0" applyNumberFormat="1" applyFill="1"/>
    <xf numFmtId="165" fontId="2" fillId="0" borderId="0" xfId="0" applyNumberFormat="1" applyFont="1" applyFill="1" applyAlignment="1">
      <alignment horizontal="center"/>
    </xf>
    <xf numFmtId="0" fontId="2" fillId="0" borderId="1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0" xfId="0" applyFill="1" applyBorder="1"/>
    <xf numFmtId="165" fontId="0" fillId="0" borderId="0" xfId="0" applyNumberFormat="1" applyFill="1" applyBorder="1"/>
    <xf numFmtId="0" fontId="0" fillId="0" borderId="5" xfId="0" applyFill="1" applyBorder="1"/>
    <xf numFmtId="0" fontId="2" fillId="0" borderId="6" xfId="0" applyFont="1" applyFill="1" applyBorder="1"/>
    <xf numFmtId="0" fontId="0" fillId="0" borderId="7" xfId="0" applyFill="1" applyBorder="1"/>
    <xf numFmtId="0" fontId="0" fillId="0" borderId="8" xfId="0" applyFill="1" applyBorder="1"/>
    <xf numFmtId="0" fontId="6" fillId="0" borderId="0" xfId="0" applyFont="1" applyFill="1"/>
    <xf numFmtId="167" fontId="0" fillId="0" borderId="0" xfId="0" applyNumberFormat="1" applyFill="1" applyAlignment="1">
      <alignment horizontal="center"/>
    </xf>
    <xf numFmtId="0" fontId="0" fillId="0" borderId="0" xfId="0" applyFont="1" applyFill="1"/>
    <xf numFmtId="165" fontId="0" fillId="4" borderId="0" xfId="0" applyNumberFormat="1" applyFill="1"/>
    <xf numFmtId="0" fontId="0" fillId="4" borderId="0" xfId="0" applyFill="1"/>
    <xf numFmtId="165" fontId="0" fillId="4" borderId="2" xfId="0" applyNumberFormat="1" applyFill="1" applyBorder="1"/>
    <xf numFmtId="165" fontId="0" fillId="4" borderId="0" xfId="0" applyNumberFormat="1" applyFill="1" applyBorder="1"/>
    <xf numFmtId="0" fontId="0" fillId="4" borderId="0" xfId="0" applyFill="1" applyBorder="1"/>
    <xf numFmtId="165" fontId="0" fillId="0" borderId="2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0" fillId="0" borderId="7" xfId="0" applyNumberFormat="1" applyFill="1" applyBorder="1" applyAlignment="1">
      <alignment horizontal="center"/>
    </xf>
    <xf numFmtId="0" fontId="2" fillId="5" borderId="0" xfId="0" applyFont="1" applyFill="1"/>
    <xf numFmtId="165" fontId="2" fillId="4" borderId="7" xfId="0" applyNumberFormat="1" applyFont="1" applyFill="1" applyBorder="1"/>
    <xf numFmtId="0" fontId="0" fillId="5" borderId="0" xfId="0" applyFill="1" applyBorder="1"/>
    <xf numFmtId="165" fontId="0" fillId="6" borderId="0" xfId="0" applyNumberFormat="1" applyFill="1"/>
    <xf numFmtId="0" fontId="5" fillId="6" borderId="0" xfId="0" applyFont="1" applyFill="1"/>
    <xf numFmtId="0" fontId="24" fillId="10" borderId="0" xfId="0" applyFont="1" applyFill="1"/>
    <xf numFmtId="0" fontId="0" fillId="10" borderId="0" xfId="0" applyFill="1"/>
    <xf numFmtId="165" fontId="21" fillId="4" borderId="0" xfId="0" applyNumberFormat="1" applyFont="1" applyFill="1"/>
    <xf numFmtId="0" fontId="15" fillId="11" borderId="0" xfId="1" applyFill="1"/>
    <xf numFmtId="1" fontId="15" fillId="11" borderId="0" xfId="1" applyNumberFormat="1" applyFill="1"/>
    <xf numFmtId="165" fontId="15" fillId="11" borderId="0" xfId="1" applyNumberFormat="1" applyFill="1"/>
    <xf numFmtId="0" fontId="21" fillId="5" borderId="0" xfId="0" applyFont="1" applyFill="1"/>
    <xf numFmtId="0" fontId="15" fillId="0" borderId="0" xfId="1" applyFill="1"/>
    <xf numFmtId="167" fontId="21" fillId="0" borderId="0" xfId="0" applyNumberFormat="1" applyFont="1" applyFill="1" applyAlignment="1">
      <alignment horizontal="center"/>
    </xf>
    <xf numFmtId="0" fontId="2" fillId="0" borderId="0" xfId="0" applyFont="1" applyFill="1" applyBorder="1"/>
    <xf numFmtId="165" fontId="2" fillId="4" borderId="0" xfId="0" applyNumberFormat="1" applyFont="1" applyFill="1" applyBorder="1"/>
    <xf numFmtId="9" fontId="0" fillId="0" borderId="0" xfId="0" applyNumberFormat="1" applyFill="1"/>
    <xf numFmtId="17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right"/>
    </xf>
    <xf numFmtId="167" fontId="27" fillId="0" borderId="15" xfId="0" applyNumberFormat="1" applyFont="1" applyFill="1" applyBorder="1" applyAlignment="1">
      <alignment horizontal="right"/>
    </xf>
    <xf numFmtId="167" fontId="0" fillId="0" borderId="0" xfId="0" applyNumberFormat="1" applyFill="1" applyBorder="1" applyAlignment="1">
      <alignment horizontal="right"/>
    </xf>
    <xf numFmtId="167" fontId="27" fillId="0" borderId="16" xfId="0" applyNumberFormat="1" applyFont="1" applyFill="1" applyBorder="1" applyAlignment="1">
      <alignment horizontal="right"/>
    </xf>
    <xf numFmtId="165" fontId="27" fillId="0" borderId="0" xfId="0" applyNumberFormat="1" applyFont="1" applyFill="1"/>
    <xf numFmtId="0" fontId="2" fillId="0" borderId="0" xfId="8" applyFont="1"/>
    <xf numFmtId="49" fontId="3" fillId="0" borderId="0" xfId="8" applyNumberFormat="1" applyFont="1"/>
    <xf numFmtId="0" fontId="3" fillId="0" borderId="0" xfId="8" applyFont="1"/>
    <xf numFmtId="0" fontId="16" fillId="0" borderId="0" xfId="8"/>
    <xf numFmtId="0" fontId="16" fillId="0" borderId="0" xfId="8" applyAlignment="1">
      <alignment horizontal="center"/>
    </xf>
    <xf numFmtId="0" fontId="16" fillId="0" borderId="17" xfId="8" applyBorder="1"/>
    <xf numFmtId="0" fontId="2" fillId="0" borderId="18" xfId="8" applyFont="1" applyFill="1" applyBorder="1" applyAlignment="1">
      <alignment horizontal="center"/>
    </xf>
    <xf numFmtId="0" fontId="2" fillId="0" borderId="19" xfId="8" applyFont="1" applyBorder="1" applyAlignment="1">
      <alignment horizontal="center" vertical="center"/>
    </xf>
    <xf numFmtId="0" fontId="16" fillId="0" borderId="0" xfId="8" applyBorder="1"/>
    <xf numFmtId="3" fontId="16" fillId="0" borderId="0" xfId="8" applyNumberFormat="1" applyFill="1" applyBorder="1"/>
    <xf numFmtId="0" fontId="16" fillId="0" borderId="20" xfId="8" applyBorder="1" applyAlignment="1">
      <alignment horizontal="right"/>
    </xf>
    <xf numFmtId="0" fontId="3" fillId="0" borderId="21" xfId="8" applyFont="1" applyFill="1" applyBorder="1" applyAlignment="1">
      <alignment horizontal="center"/>
    </xf>
    <xf numFmtId="17" fontId="16" fillId="0" borderId="0" xfId="8" applyNumberFormat="1"/>
    <xf numFmtId="0" fontId="3" fillId="0" borderId="20" xfId="8" applyFont="1" applyBorder="1" applyAlignment="1">
      <alignment horizontal="right"/>
    </xf>
    <xf numFmtId="172" fontId="3" fillId="0" borderId="21" xfId="4" applyNumberFormat="1" applyFont="1" applyFill="1" applyBorder="1" applyAlignment="1">
      <alignment horizontal="center"/>
    </xf>
    <xf numFmtId="44" fontId="16" fillId="0" borderId="0" xfId="8" applyNumberFormat="1" applyAlignment="1">
      <alignment horizontal="center"/>
    </xf>
    <xf numFmtId="10" fontId="3" fillId="0" borderId="21" xfId="12" applyNumberFormat="1" applyFont="1" applyFill="1" applyBorder="1" applyAlignment="1">
      <alignment horizontal="center"/>
    </xf>
    <xf numFmtId="172" fontId="16" fillId="0" borderId="0" xfId="8" applyNumberFormat="1"/>
    <xf numFmtId="0" fontId="16" fillId="9" borderId="20" xfId="8" applyFill="1" applyBorder="1" applyAlignment="1">
      <alignment horizontal="right"/>
    </xf>
    <xf numFmtId="0" fontId="16" fillId="0" borderId="14" xfId="8" applyBorder="1" applyAlignment="1">
      <alignment horizontal="right"/>
    </xf>
    <xf numFmtId="10" fontId="3" fillId="0" borderId="22" xfId="12" applyNumberFormat="1" applyFont="1" applyFill="1" applyBorder="1" applyAlignment="1">
      <alignment horizontal="center"/>
    </xf>
    <xf numFmtId="0" fontId="4" fillId="0" borderId="20" xfId="8" applyFont="1" applyFill="1" applyBorder="1" applyAlignment="1">
      <alignment horizontal="left"/>
    </xf>
    <xf numFmtId="0" fontId="16" fillId="0" borderId="0" xfId="8" applyFill="1"/>
    <xf numFmtId="0" fontId="4" fillId="0" borderId="0" xfId="8" applyFont="1" applyFill="1" applyBorder="1" applyAlignment="1">
      <alignment horizontal="left"/>
    </xf>
    <xf numFmtId="0" fontId="28" fillId="0" borderId="12" xfId="8" applyFont="1" applyFill="1" applyBorder="1" applyAlignment="1"/>
    <xf numFmtId="0" fontId="27" fillId="0" borderId="0" xfId="8" applyFont="1"/>
    <xf numFmtId="0" fontId="27" fillId="0" borderId="0" xfId="8" applyFont="1" applyBorder="1"/>
    <xf numFmtId="0" fontId="28" fillId="0" borderId="0" xfId="8" applyFont="1" applyFill="1" applyBorder="1" applyAlignment="1"/>
    <xf numFmtId="0" fontId="27" fillId="0" borderId="0" xfId="8" applyFont="1" applyBorder="1" applyAlignment="1">
      <alignment horizontal="center"/>
    </xf>
    <xf numFmtId="0" fontId="2" fillId="0" borderId="19" xfId="8" applyFont="1" applyBorder="1"/>
    <xf numFmtId="166" fontId="2" fillId="0" borderId="18" xfId="8" applyNumberFormat="1" applyFont="1" applyFill="1" applyBorder="1" applyAlignment="1">
      <alignment horizontal="center"/>
    </xf>
    <xf numFmtId="0" fontId="2" fillId="0" borderId="17" xfId="8" applyFont="1" applyFill="1" applyBorder="1" applyAlignment="1">
      <alignment horizontal="center" wrapText="1"/>
    </xf>
    <xf numFmtId="0" fontId="16" fillId="0" borderId="17" xfId="8" applyFill="1" applyBorder="1" applyAlignment="1">
      <alignment horizontal="center" vertical="top" wrapText="1"/>
    </xf>
    <xf numFmtId="0" fontId="2" fillId="0" borderId="23" xfId="8" applyFont="1" applyFill="1" applyBorder="1" applyAlignment="1">
      <alignment vertical="top"/>
    </xf>
    <xf numFmtId="0" fontId="2" fillId="0" borderId="18" xfId="8" applyFont="1" applyFill="1" applyBorder="1" applyAlignment="1">
      <alignment vertical="top" wrapText="1"/>
    </xf>
    <xf numFmtId="0" fontId="16" fillId="0" borderId="24" xfId="8" applyBorder="1"/>
    <xf numFmtId="166" fontId="16" fillId="0" borderId="21" xfId="8" applyNumberFormat="1" applyFill="1" applyBorder="1"/>
    <xf numFmtId="0" fontId="16" fillId="0" borderId="20" xfId="8" applyFill="1" applyBorder="1" applyAlignment="1">
      <alignment horizontal="center"/>
    </xf>
    <xf numFmtId="170" fontId="29" fillId="0" borderId="20" xfId="3" quotePrefix="1" applyNumberFormat="1" applyFont="1" applyFill="1" applyBorder="1"/>
    <xf numFmtId="0" fontId="16" fillId="0" borderId="0" xfId="8" applyFill="1" applyBorder="1" applyAlignment="1">
      <alignment horizontal="center"/>
    </xf>
    <xf numFmtId="164" fontId="16" fillId="0" borderId="0" xfId="8" applyNumberFormat="1" applyFill="1" applyBorder="1"/>
    <xf numFmtId="164" fontId="16" fillId="0" borderId="21" xfId="8" applyNumberFormat="1" applyFill="1" applyBorder="1"/>
    <xf numFmtId="0" fontId="16" fillId="0" borderId="10" xfId="8" applyBorder="1"/>
    <xf numFmtId="0" fontId="16" fillId="0" borderId="14" xfId="8" applyFill="1" applyBorder="1" applyAlignment="1">
      <alignment horizontal="center"/>
    </xf>
    <xf numFmtId="0" fontId="16" fillId="0" borderId="12" xfId="8" applyFill="1" applyBorder="1" applyAlignment="1">
      <alignment horizontal="center"/>
    </xf>
    <xf numFmtId="166" fontId="16" fillId="0" borderId="0" xfId="8" applyNumberFormat="1" applyFill="1" applyBorder="1"/>
    <xf numFmtId="9" fontId="0" fillId="0" borderId="0" xfId="0" applyNumberFormat="1" applyFill="1" applyBorder="1"/>
    <xf numFmtId="168" fontId="0" fillId="0" borderId="0" xfId="0" applyNumberFormat="1" applyFill="1"/>
    <xf numFmtId="168" fontId="0" fillId="0" borderId="16" xfId="0" applyNumberFormat="1" applyFill="1" applyBorder="1"/>
    <xf numFmtId="0" fontId="0" fillId="4" borderId="4" xfId="0" applyFill="1" applyBorder="1"/>
    <xf numFmtId="0" fontId="0" fillId="4" borderId="0" xfId="0" applyFill="1" applyAlignment="1"/>
    <xf numFmtId="0" fontId="0" fillId="4" borderId="2" xfId="0" applyFill="1" applyBorder="1"/>
    <xf numFmtId="0" fontId="0" fillId="4" borderId="6" xfId="0" applyFill="1" applyBorder="1" applyAlignment="1"/>
    <xf numFmtId="8" fontId="0" fillId="4" borderId="0" xfId="0" applyNumberFormat="1" applyFill="1" applyAlignment="1"/>
    <xf numFmtId="0" fontId="6" fillId="4" borderId="1" xfId="0" applyFont="1" applyFill="1" applyBorder="1" applyAlignment="1"/>
    <xf numFmtId="0" fontId="13" fillId="4" borderId="4" xfId="0" applyFont="1" applyFill="1" applyBorder="1"/>
    <xf numFmtId="0" fontId="2" fillId="4" borderId="4" xfId="0" applyFont="1" applyFill="1" applyBorder="1" applyAlignment="1"/>
    <xf numFmtId="0" fontId="9" fillId="4" borderId="4" xfId="0" applyFont="1" applyFill="1" applyBorder="1" applyAlignment="1"/>
    <xf numFmtId="0" fontId="2" fillId="13" borderId="0" xfId="0" applyFont="1" applyFill="1"/>
    <xf numFmtId="0" fontId="0" fillId="13" borderId="0" xfId="0" applyFill="1"/>
    <xf numFmtId="165" fontId="0" fillId="13" borderId="0" xfId="0" applyNumberFormat="1" applyFill="1" applyAlignment="1">
      <alignment horizontal="center"/>
    </xf>
    <xf numFmtId="4" fontId="0" fillId="13" borderId="0" xfId="0" applyNumberFormat="1" applyFill="1"/>
    <xf numFmtId="166" fontId="27" fillId="13" borderId="0" xfId="0" applyNumberFormat="1" applyFont="1" applyFill="1"/>
    <xf numFmtId="0" fontId="5" fillId="13" borderId="0" xfId="0" applyFont="1" applyFill="1"/>
    <xf numFmtId="6" fontId="0" fillId="13" borderId="0" xfId="0" applyNumberFormat="1" applyFill="1"/>
    <xf numFmtId="9" fontId="0" fillId="13" borderId="0" xfId="0" applyNumberFormat="1" applyFill="1"/>
    <xf numFmtId="165" fontId="0" fillId="13" borderId="0" xfId="0" applyNumberFormat="1" applyFill="1"/>
    <xf numFmtId="4" fontId="0" fillId="13" borderId="0" xfId="0" applyNumberFormat="1" applyFill="1" applyAlignment="1">
      <alignment horizontal="center"/>
    </xf>
    <xf numFmtId="3" fontId="0" fillId="13" borderId="0" xfId="0" applyNumberFormat="1" applyFill="1"/>
    <xf numFmtId="0" fontId="22" fillId="13" borderId="0" xfId="0" applyFont="1" applyFill="1"/>
    <xf numFmtId="0" fontId="0" fillId="13" borderId="0" xfId="0" applyFont="1" applyFill="1"/>
    <xf numFmtId="2" fontId="0" fillId="13" borderId="0" xfId="0" applyNumberFormat="1" applyFill="1"/>
    <xf numFmtId="165" fontId="0" fillId="13" borderId="27" xfId="0" applyNumberFormat="1" applyFill="1" applyBorder="1"/>
    <xf numFmtId="0" fontId="0" fillId="13" borderId="0" xfId="0" applyFill="1" applyAlignment="1">
      <alignment horizontal="left" indent="1"/>
    </xf>
    <xf numFmtId="0" fontId="27" fillId="13" borderId="0" xfId="0" applyFont="1" applyFill="1"/>
    <xf numFmtId="165" fontId="27" fillId="13" borderId="0" xfId="0" applyNumberFormat="1" applyFont="1" applyFill="1"/>
    <xf numFmtId="165" fontId="17" fillId="13" borderId="0" xfId="6" applyNumberFormat="1" applyFill="1" applyBorder="1"/>
    <xf numFmtId="166" fontId="0" fillId="13" borderId="0" xfId="0" applyNumberFormat="1" applyFill="1"/>
    <xf numFmtId="4" fontId="17" fillId="13" borderId="0" xfId="6" applyNumberFormat="1" applyFill="1" applyBorder="1"/>
    <xf numFmtId="0" fontId="0" fillId="6" borderId="0" xfId="0" applyFill="1"/>
    <xf numFmtId="167" fontId="27" fillId="0" borderId="0" xfId="0" applyNumberFormat="1" applyFont="1" applyFill="1" applyBorder="1" applyAlignment="1">
      <alignment horizontal="right"/>
    </xf>
    <xf numFmtId="0" fontId="16" fillId="0" borderId="0" xfId="8" applyBorder="1" applyAlignment="1">
      <alignment horizontal="right"/>
    </xf>
    <xf numFmtId="0" fontId="23" fillId="0" borderId="23" xfId="8" applyFont="1" applyBorder="1"/>
    <xf numFmtId="170" fontId="29" fillId="0" borderId="14" xfId="3" quotePrefix="1" applyNumberFormat="1" applyFont="1" applyFill="1" applyBorder="1"/>
    <xf numFmtId="164" fontId="16" fillId="0" borderId="12" xfId="8" applyNumberFormat="1" applyFill="1" applyBorder="1"/>
    <xf numFmtId="164" fontId="16" fillId="0" borderId="22" xfId="8" applyNumberFormat="1" applyFill="1" applyBorder="1"/>
    <xf numFmtId="0" fontId="2" fillId="0" borderId="17" xfId="8" applyFont="1" applyBorder="1"/>
    <xf numFmtId="0" fontId="2" fillId="0" borderId="23" xfId="0" applyFont="1" applyFill="1" applyBorder="1"/>
    <xf numFmtId="166" fontId="16" fillId="0" borderId="24" xfId="8" applyNumberFormat="1" applyFill="1" applyBorder="1"/>
    <xf numFmtId="166" fontId="16" fillId="0" borderId="10" xfId="8" applyNumberFormat="1" applyFill="1" applyBorder="1"/>
    <xf numFmtId="166" fontId="16" fillId="0" borderId="22" xfId="8" applyNumberFormat="1" applyFill="1" applyBorder="1"/>
    <xf numFmtId="0" fontId="3" fillId="0" borderId="20" xfId="8" applyFont="1" applyBorder="1" applyAlignment="1">
      <alignment horizontal="right" wrapText="1"/>
    </xf>
    <xf numFmtId="0" fontId="16" fillId="14" borderId="0" xfId="8" applyFill="1"/>
    <xf numFmtId="0" fontId="16" fillId="14" borderId="0" xfId="8" applyFill="1" applyAlignment="1">
      <alignment horizontal="center"/>
    </xf>
    <xf numFmtId="165" fontId="16" fillId="0" borderId="0" xfId="8" applyNumberFormat="1" applyBorder="1"/>
    <xf numFmtId="2" fontId="16" fillId="0" borderId="0" xfId="8" applyNumberFormat="1" applyAlignment="1">
      <alignment horizontal="center"/>
    </xf>
    <xf numFmtId="0" fontId="21" fillId="0" borderId="0" xfId="0" applyFont="1" applyAlignment="1">
      <alignment wrapText="1"/>
    </xf>
    <xf numFmtId="8" fontId="21" fillId="0" borderId="0" xfId="0" applyNumberFormat="1" applyFont="1"/>
    <xf numFmtId="8" fontId="0" fillId="0" borderId="0" xfId="0" applyNumberFormat="1"/>
    <xf numFmtId="0" fontId="2" fillId="0" borderId="18" xfId="8" applyFont="1" applyBorder="1"/>
    <xf numFmtId="0" fontId="2" fillId="7" borderId="0" xfId="0" applyFont="1" applyFill="1"/>
    <xf numFmtId="8" fontId="21" fillId="7" borderId="0" xfId="0" applyNumberFormat="1" applyFont="1" applyFill="1"/>
    <xf numFmtId="165" fontId="0" fillId="8" borderId="0" xfId="0" applyNumberFormat="1" applyFill="1" applyBorder="1" applyAlignment="1">
      <alignment horizontal="center"/>
    </xf>
    <xf numFmtId="165" fontId="0" fillId="8" borderId="5" xfId="0" applyNumberFormat="1" applyFill="1" applyBorder="1" applyAlignment="1">
      <alignment horizontal="center"/>
    </xf>
    <xf numFmtId="165" fontId="2" fillId="8" borderId="0" xfId="0" applyNumberFormat="1" applyFont="1" applyFill="1" applyBorder="1" applyAlignment="1">
      <alignment horizontal="center"/>
    </xf>
    <xf numFmtId="165" fontId="9" fillId="8" borderId="16" xfId="0" applyNumberFormat="1" applyFont="1" applyFill="1" applyBorder="1" applyAlignment="1">
      <alignment horizontal="center"/>
    </xf>
    <xf numFmtId="0" fontId="30" fillId="8" borderId="1" xfId="0" applyFont="1" applyFill="1" applyBorder="1"/>
    <xf numFmtId="0" fontId="30" fillId="8" borderId="4" xfId="0" applyFont="1" applyFill="1" applyBorder="1"/>
    <xf numFmtId="0" fontId="30" fillId="8" borderId="6" xfId="0" applyFont="1" applyFill="1" applyBorder="1"/>
    <xf numFmtId="165" fontId="2" fillId="8" borderId="5" xfId="0" applyNumberFormat="1" applyFont="1" applyFill="1" applyBorder="1" applyAlignment="1">
      <alignment horizontal="center"/>
    </xf>
    <xf numFmtId="8" fontId="31" fillId="8" borderId="3" xfId="0" applyNumberFormat="1" applyFont="1" applyFill="1" applyBorder="1" applyAlignment="1">
      <alignment horizontal="center" vertical="center"/>
    </xf>
    <xf numFmtId="8" fontId="31" fillId="8" borderId="5" xfId="0" applyNumberFormat="1" applyFont="1" applyFill="1" applyBorder="1" applyAlignment="1">
      <alignment horizontal="center" vertical="center"/>
    </xf>
    <xf numFmtId="0" fontId="12" fillId="4" borderId="20" xfId="0" applyFont="1" applyFill="1" applyBorder="1"/>
    <xf numFmtId="43" fontId="11" fillId="4" borderId="0" xfId="2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2" fillId="4" borderId="4" xfId="0" applyFont="1" applyFill="1" applyBorder="1"/>
    <xf numFmtId="0" fontId="2" fillId="12" borderId="5" xfId="0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>
      <alignment horizontal="left" indent="2"/>
    </xf>
    <xf numFmtId="0" fontId="2" fillId="4" borderId="4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2" fillId="12" borderId="8" xfId="0" applyFont="1" applyFill="1" applyBorder="1" applyAlignment="1" applyProtection="1">
      <alignment horizontal="center" vertical="center"/>
      <protection locked="0"/>
    </xf>
    <xf numFmtId="169" fontId="31" fillId="8" borderId="8" xfId="0" applyNumberFormat="1" applyFont="1" applyFill="1" applyBorder="1" applyAlignment="1">
      <alignment horizontal="center" vertical="center"/>
    </xf>
    <xf numFmtId="0" fontId="11" fillId="12" borderId="23" xfId="0" applyFont="1" applyFill="1" applyBorder="1" applyAlignment="1">
      <alignment horizontal="center" vertical="center" wrapText="1"/>
    </xf>
    <xf numFmtId="8" fontId="0" fillId="0" borderId="0" xfId="0" applyNumberFormat="1" applyFill="1"/>
    <xf numFmtId="0" fontId="2" fillId="12" borderId="20" xfId="0" applyFont="1" applyFill="1" applyBorder="1" applyAlignment="1"/>
    <xf numFmtId="0" fontId="2" fillId="12" borderId="0" xfId="0" applyFont="1" applyFill="1" applyBorder="1" applyAlignment="1"/>
    <xf numFmtId="0" fontId="2" fillId="12" borderId="21" xfId="0" applyFont="1" applyFill="1" applyBorder="1" applyAlignment="1"/>
    <xf numFmtId="4" fontId="0" fillId="12" borderId="0" xfId="0" applyNumberFormat="1" applyFont="1" applyFill="1" applyBorder="1" applyAlignment="1" applyProtection="1">
      <alignment horizontal="center" vertical="center"/>
      <protection locked="0"/>
    </xf>
    <xf numFmtId="4" fontId="0" fillId="12" borderId="21" xfId="0" applyNumberFormat="1" applyFont="1" applyFill="1" applyBorder="1" applyAlignment="1" applyProtection="1">
      <alignment horizontal="center" vertical="center"/>
      <protection locked="0"/>
    </xf>
    <xf numFmtId="0" fontId="16" fillId="0" borderId="20" xfId="8" applyFill="1" applyBorder="1" applyAlignment="1">
      <alignment horizontal="right"/>
    </xf>
    <xf numFmtId="168" fontId="3" fillId="0" borderId="21" xfId="12" applyNumberFormat="1" applyFont="1" applyFill="1" applyBorder="1" applyAlignment="1">
      <alignment horizontal="center"/>
    </xf>
    <xf numFmtId="0" fontId="0" fillId="8" borderId="2" xfId="0" applyFill="1" applyBorder="1"/>
    <xf numFmtId="0" fontId="0" fillId="8" borderId="3" xfId="0" applyFill="1" applyBorder="1" applyAlignment="1"/>
    <xf numFmtId="0" fontId="2" fillId="8" borderId="0" xfId="0" applyFont="1" applyFill="1" applyBorder="1" applyAlignment="1"/>
    <xf numFmtId="0" fontId="2" fillId="8" borderId="5" xfId="0" applyFont="1" applyFill="1" applyBorder="1" applyAlignment="1"/>
    <xf numFmtId="0" fontId="0" fillId="8" borderId="0" xfId="0" applyFill="1" applyBorder="1" applyAlignment="1"/>
    <xf numFmtId="0" fontId="0" fillId="8" borderId="5" xfId="0" applyFill="1" applyBorder="1" applyAlignment="1"/>
    <xf numFmtId="0" fontId="0" fillId="8" borderId="7" xfId="0" applyFill="1" applyBorder="1" applyAlignment="1"/>
    <xf numFmtId="0" fontId="0" fillId="8" borderId="8" xfId="0" applyFill="1" applyBorder="1"/>
    <xf numFmtId="2" fontId="11" fillId="8" borderId="15" xfId="0" applyNumberFormat="1" applyFont="1" applyFill="1" applyBorder="1" applyAlignment="1">
      <alignment horizontal="center" vertical="center"/>
    </xf>
    <xf numFmtId="2" fontId="11" fillId="8" borderId="25" xfId="0" applyNumberFormat="1" applyFont="1" applyFill="1" applyBorder="1" applyAlignment="1">
      <alignment horizontal="center" vertical="center"/>
    </xf>
    <xf numFmtId="2" fontId="11" fillId="8" borderId="16" xfId="0" applyNumberFormat="1" applyFont="1" applyFill="1" applyBorder="1" applyAlignment="1">
      <alignment horizontal="center" vertical="center"/>
    </xf>
    <xf numFmtId="0" fontId="6" fillId="4" borderId="0" xfId="0" applyFont="1" applyFill="1"/>
    <xf numFmtId="0" fontId="6" fillId="4" borderId="0" xfId="0" applyFont="1" applyFill="1" applyBorder="1"/>
    <xf numFmtId="0" fontId="2" fillId="4" borderId="1" xfId="0" applyFont="1" applyFill="1" applyBorder="1" applyAlignment="1">
      <alignment horizontal="left"/>
    </xf>
    <xf numFmtId="0" fontId="2" fillId="4" borderId="4" xfId="0" applyFont="1" applyFill="1" applyBorder="1" applyAlignment="1">
      <alignment vertical="center"/>
    </xf>
    <xf numFmtId="0" fontId="11" fillId="8" borderId="18" xfId="0" applyFont="1" applyFill="1" applyBorder="1" applyAlignment="1">
      <alignment wrapText="1"/>
    </xf>
    <xf numFmtId="165" fontId="0" fillId="8" borderId="0" xfId="0" applyNumberFormat="1" applyFont="1" applyFill="1" applyBorder="1" applyAlignment="1" applyProtection="1">
      <alignment horizontal="center" vertical="center"/>
    </xf>
    <xf numFmtId="165" fontId="0" fillId="16" borderId="0" xfId="0" applyNumberFormat="1" applyFont="1" applyFill="1" applyBorder="1" applyAlignment="1" applyProtection="1">
      <alignment horizontal="center" vertical="center"/>
    </xf>
    <xf numFmtId="165" fontId="0" fillId="16" borderId="21" xfId="0" applyNumberFormat="1" applyFont="1" applyFill="1" applyBorder="1" applyAlignment="1" applyProtection="1">
      <alignment horizontal="center" vertical="center"/>
    </xf>
    <xf numFmtId="0" fontId="0" fillId="4" borderId="0" xfId="0" applyFill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0" fontId="11" fillId="12" borderId="18" xfId="0" applyFont="1" applyFill="1" applyBorder="1" applyAlignment="1">
      <alignment horizontal="center" vertical="center" wrapText="1"/>
    </xf>
    <xf numFmtId="165" fontId="11" fillId="8" borderId="15" xfId="0" applyNumberFormat="1" applyFont="1" applyFill="1" applyBorder="1" applyAlignment="1">
      <alignment horizontal="center"/>
    </xf>
    <xf numFmtId="165" fontId="11" fillId="8" borderId="25" xfId="0" applyNumberFormat="1" applyFont="1" applyFill="1" applyBorder="1" applyAlignment="1">
      <alignment horizontal="center"/>
    </xf>
    <xf numFmtId="165" fontId="11" fillId="8" borderId="6" xfId="0" applyNumberFormat="1" applyFont="1" applyFill="1" applyBorder="1" applyAlignment="1"/>
    <xf numFmtId="165" fontId="11" fillId="8" borderId="7" xfId="0" applyNumberFormat="1" applyFont="1" applyFill="1" applyBorder="1" applyAlignment="1"/>
    <xf numFmtId="165" fontId="11" fillId="8" borderId="37" xfId="0" applyNumberFormat="1" applyFont="1" applyFill="1" applyBorder="1"/>
    <xf numFmtId="0" fontId="1" fillId="0" borderId="0" xfId="0" applyFont="1" applyFill="1"/>
    <xf numFmtId="0" fontId="1" fillId="12" borderId="0" xfId="0" applyFont="1" applyFill="1" applyBorder="1" applyAlignment="1" applyProtection="1">
      <alignment horizontal="center" vertical="center"/>
      <protection locked="0"/>
    </xf>
    <xf numFmtId="165" fontId="1" fillId="8" borderId="5" xfId="0" applyNumberFormat="1" applyFont="1" applyFill="1" applyBorder="1" applyAlignment="1">
      <alignment horizontal="center"/>
    </xf>
    <xf numFmtId="0" fontId="11" fillId="8" borderId="23" xfId="0" applyFont="1" applyFill="1" applyBorder="1" applyAlignment="1">
      <alignment horizontal="center" wrapText="1"/>
    </xf>
    <xf numFmtId="43" fontId="11" fillId="8" borderId="13" xfId="2" applyFont="1" applyFill="1" applyBorder="1" applyAlignment="1">
      <alignment horizontal="right"/>
    </xf>
    <xf numFmtId="2" fontId="0" fillId="8" borderId="0" xfId="0" applyNumberFormat="1" applyFont="1" applyFill="1" applyBorder="1" applyAlignment="1" applyProtection="1">
      <alignment horizontal="center" vertical="center"/>
    </xf>
    <xf numFmtId="2" fontId="11" fillId="8" borderId="26" xfId="0" applyNumberFormat="1" applyFont="1" applyFill="1" applyBorder="1" applyAlignment="1">
      <alignment horizontal="center"/>
    </xf>
    <xf numFmtId="2" fontId="11" fillId="8" borderId="28" xfId="0" applyNumberFormat="1" applyFont="1" applyFill="1" applyBorder="1"/>
    <xf numFmtId="0" fontId="0" fillId="8" borderId="0" xfId="0" applyFill="1" applyBorder="1"/>
    <xf numFmtId="0" fontId="0" fillId="4" borderId="3" xfId="0" applyFill="1" applyBorder="1"/>
    <xf numFmtId="0" fontId="2" fillId="8" borderId="33" xfId="0" applyFont="1" applyFill="1" applyBorder="1"/>
    <xf numFmtId="0" fontId="2" fillId="8" borderId="36" xfId="0" applyFont="1" applyFill="1" applyBorder="1"/>
    <xf numFmtId="0" fontId="11" fillId="8" borderId="32" xfId="0" applyFont="1" applyFill="1" applyBorder="1" applyAlignment="1">
      <alignment wrapText="1"/>
    </xf>
    <xf numFmtId="0" fontId="11" fillId="8" borderId="4" xfId="0" applyFont="1" applyFill="1" applyBorder="1" applyAlignment="1">
      <alignment wrapText="1"/>
    </xf>
    <xf numFmtId="0" fontId="2" fillId="8" borderId="33" xfId="0" applyFont="1" applyFill="1" applyBorder="1" applyAlignment="1"/>
    <xf numFmtId="0" fontId="2" fillId="8" borderId="34" xfId="0" applyFont="1" applyFill="1" applyBorder="1" applyAlignment="1"/>
    <xf numFmtId="1" fontId="11" fillId="8" borderId="9" xfId="0" applyNumberFormat="1" applyFont="1" applyFill="1" applyBorder="1" applyAlignment="1">
      <alignment horizontal="center"/>
    </xf>
    <xf numFmtId="0" fontId="0" fillId="8" borderId="7" xfId="0" applyFill="1" applyBorder="1"/>
    <xf numFmtId="0" fontId="11" fillId="8" borderId="4" xfId="0" applyFont="1" applyFill="1" applyBorder="1" applyAlignment="1">
      <alignment horizontal="right" wrapText="1"/>
    </xf>
    <xf numFmtId="165" fontId="9" fillId="8" borderId="29" xfId="0" applyNumberFormat="1" applyFont="1" applyFill="1" applyBorder="1" applyAlignment="1">
      <alignment horizontal="center"/>
    </xf>
    <xf numFmtId="3" fontId="34" fillId="0" borderId="0" xfId="8" applyNumberFormat="1" applyFont="1" applyFill="1" applyBorder="1"/>
    <xf numFmtId="0" fontId="1" fillId="4" borderId="4" xfId="0" applyFont="1" applyFill="1" applyBorder="1" applyAlignment="1"/>
    <xf numFmtId="0" fontId="11" fillId="8" borderId="18" xfId="0" applyFont="1" applyFill="1" applyBorder="1" applyAlignment="1">
      <alignment horizontal="center" vertical="center" wrapText="1"/>
    </xf>
    <xf numFmtId="1" fontId="0" fillId="8" borderId="21" xfId="0" applyNumberFormat="1" applyFont="1" applyFill="1" applyBorder="1" applyAlignment="1" applyProtection="1">
      <alignment horizontal="center" vertical="center"/>
    </xf>
    <xf numFmtId="165" fontId="0" fillId="16" borderId="12" xfId="0" applyNumberFormat="1" applyFont="1" applyFill="1" applyBorder="1" applyAlignment="1" applyProtection="1">
      <alignment horizontal="center" vertical="center"/>
    </xf>
    <xf numFmtId="165" fontId="0" fillId="8" borderId="22" xfId="0" applyNumberFormat="1" applyFont="1" applyFill="1" applyBorder="1" applyAlignment="1" applyProtection="1">
      <alignment horizontal="center" vertical="center"/>
    </xf>
    <xf numFmtId="0" fontId="12" fillId="8" borderId="4" xfId="0" applyFont="1" applyFill="1" applyBorder="1"/>
    <xf numFmtId="1" fontId="0" fillId="8" borderId="5" xfId="0" applyNumberFormat="1" applyFont="1" applyFill="1" applyBorder="1" applyAlignment="1" applyProtection="1">
      <alignment horizontal="center" vertical="center"/>
    </xf>
    <xf numFmtId="0" fontId="0" fillId="8" borderId="6" xfId="0" applyFill="1" applyBorder="1" applyAlignment="1"/>
    <xf numFmtId="1" fontId="11" fillId="8" borderId="39" xfId="0" applyNumberFormat="1" applyFont="1" applyFill="1" applyBorder="1" applyAlignment="1">
      <alignment horizontal="center"/>
    </xf>
    <xf numFmtId="0" fontId="6" fillId="12" borderId="5" xfId="0" applyFont="1" applyFill="1" applyBorder="1" applyAlignment="1" applyProtection="1">
      <alignment horizontal="center" vertical="center" wrapText="1"/>
      <protection locked="0"/>
    </xf>
    <xf numFmtId="0" fontId="0" fillId="12" borderId="4" xfId="0" applyFill="1" applyBorder="1" applyAlignment="1" applyProtection="1">
      <alignment horizontal="center"/>
      <protection locked="0"/>
    </xf>
    <xf numFmtId="165" fontId="0" fillId="0" borderId="0" xfId="0" applyNumberFormat="1"/>
    <xf numFmtId="43" fontId="11" fillId="8" borderId="15" xfId="2" applyFont="1" applyFill="1" applyBorder="1" applyAlignment="1">
      <alignment horizontal="center" vertical="center"/>
    </xf>
    <xf numFmtId="43" fontId="11" fillId="8" borderId="25" xfId="2" applyFont="1" applyFill="1" applyBorder="1" applyAlignment="1">
      <alignment horizontal="center" vertical="center"/>
    </xf>
    <xf numFmtId="43" fontId="11" fillId="8" borderId="16" xfId="2" applyFont="1" applyFill="1" applyBorder="1" applyAlignment="1">
      <alignment horizontal="center" vertical="center"/>
    </xf>
    <xf numFmtId="0" fontId="2" fillId="4" borderId="0" xfId="0" applyFont="1" applyFill="1" applyAlignment="1"/>
    <xf numFmtId="8" fontId="2" fillId="4" borderId="0" xfId="0" applyNumberFormat="1" applyFont="1" applyFill="1"/>
    <xf numFmtId="0" fontId="2" fillId="4" borderId="0" xfId="0" applyFont="1" applyFill="1" applyAlignment="1">
      <alignment horizontal="right"/>
    </xf>
    <xf numFmtId="0" fontId="1" fillId="4" borderId="0" xfId="0" applyFont="1" applyFill="1" applyAlignment="1"/>
    <xf numFmtId="0" fontId="35" fillId="0" borderId="0" xfId="0" applyFont="1" applyFill="1"/>
    <xf numFmtId="15" fontId="35" fillId="0" borderId="0" xfId="0" applyNumberFormat="1" applyFont="1" applyFill="1"/>
    <xf numFmtId="0" fontId="1" fillId="0" borderId="0" xfId="0" applyFont="1" applyFill="1" applyAlignment="1">
      <alignment horizontal="left" indent="1"/>
    </xf>
    <xf numFmtId="165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165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/>
    <xf numFmtId="0" fontId="25" fillId="0" borderId="0" xfId="0" applyFont="1" applyFill="1" applyAlignment="1">
      <alignment horizontal="left" wrapText="1"/>
    </xf>
    <xf numFmtId="8" fontId="1" fillId="0" borderId="0" xfId="0" applyNumberFormat="1" applyFont="1" applyFill="1"/>
    <xf numFmtId="0" fontId="1" fillId="0" borderId="0" xfId="0" applyFont="1" applyFill="1" applyAlignment="1">
      <alignment horizontal="center"/>
    </xf>
    <xf numFmtId="0" fontId="1" fillId="13" borderId="0" xfId="0" applyFont="1" applyFill="1"/>
    <xf numFmtId="0" fontId="1" fillId="13" borderId="0" xfId="0" applyFont="1" applyFill="1" applyAlignment="1">
      <alignment horizontal="left" indent="1"/>
    </xf>
    <xf numFmtId="49" fontId="1" fillId="13" borderId="0" xfId="0" quotePrefix="1" applyNumberFormat="1" applyFont="1" applyFill="1"/>
    <xf numFmtId="6" fontId="1" fillId="13" borderId="0" xfId="0" applyNumberFormat="1" applyFont="1" applyFill="1"/>
    <xf numFmtId="2" fontId="1" fillId="13" borderId="0" xfId="0" applyNumberFormat="1" applyFont="1" applyFill="1"/>
    <xf numFmtId="0" fontId="0" fillId="13" borderId="21" xfId="0" applyFill="1" applyBorder="1"/>
    <xf numFmtId="0" fontId="0" fillId="13" borderId="17" xfId="0" applyFill="1" applyBorder="1"/>
    <xf numFmtId="0" fontId="1" fillId="13" borderId="20" xfId="0" applyFont="1" applyFill="1" applyBorder="1"/>
    <xf numFmtId="165" fontId="0" fillId="13" borderId="0" xfId="0" applyNumberFormat="1" applyFill="1" applyBorder="1"/>
    <xf numFmtId="9" fontId="0" fillId="13" borderId="21" xfId="12" applyFont="1" applyFill="1" applyBorder="1"/>
    <xf numFmtId="0" fontId="0" fillId="13" borderId="20" xfId="0" applyFill="1" applyBorder="1"/>
    <xf numFmtId="165" fontId="0" fillId="13" borderId="16" xfId="0" applyNumberFormat="1" applyFill="1" applyBorder="1"/>
    <xf numFmtId="0" fontId="0" fillId="13" borderId="14" xfId="0" applyFill="1" applyBorder="1"/>
    <xf numFmtId="0" fontId="0" fillId="13" borderId="12" xfId="0" applyFill="1" applyBorder="1"/>
    <xf numFmtId="0" fontId="0" fillId="13" borderId="22" xfId="0" applyFill="1" applyBorder="1"/>
    <xf numFmtId="0" fontId="1" fillId="13" borderId="0" xfId="0" applyFont="1" applyFill="1" applyBorder="1"/>
    <xf numFmtId="4" fontId="36" fillId="13" borderId="16" xfId="0" applyNumberFormat="1" applyFont="1" applyFill="1" applyBorder="1"/>
    <xf numFmtId="165" fontId="24" fillId="0" borderId="0" xfId="0" applyNumberFormat="1" applyFont="1" applyFill="1"/>
    <xf numFmtId="0" fontId="1" fillId="0" borderId="0" xfId="0" quotePrefix="1" applyFont="1" applyFill="1"/>
    <xf numFmtId="165" fontId="25" fillId="0" borderId="0" xfId="0" applyNumberFormat="1" applyFont="1" applyFill="1" applyAlignment="1">
      <alignment horizontal="right"/>
    </xf>
    <xf numFmtId="167" fontId="25" fillId="0" borderId="0" xfId="0" applyNumberFormat="1" applyFont="1" applyFill="1" applyAlignment="1">
      <alignment horizontal="right"/>
    </xf>
    <xf numFmtId="167" fontId="25" fillId="0" borderId="15" xfId="0" applyNumberFormat="1" applyFont="1" applyFill="1" applyBorder="1" applyAlignment="1">
      <alignment horizontal="right"/>
    </xf>
    <xf numFmtId="8" fontId="25" fillId="0" borderId="0" xfId="0" applyNumberFormat="1" applyFont="1" applyFill="1" applyAlignment="1">
      <alignment horizontal="right"/>
    </xf>
    <xf numFmtId="167" fontId="25" fillId="0" borderId="0" xfId="0" applyNumberFormat="1" applyFont="1" applyFill="1" applyBorder="1" applyAlignment="1">
      <alignment horizontal="right"/>
    </xf>
    <xf numFmtId="0" fontId="1" fillId="6" borderId="5" xfId="0" quotePrefix="1" applyFont="1" applyFill="1" applyBorder="1"/>
    <xf numFmtId="0" fontId="1" fillId="0" borderId="5" xfId="0" applyFont="1" applyFill="1" applyBorder="1"/>
    <xf numFmtId="9" fontId="1" fillId="13" borderId="0" xfId="12" applyFont="1" applyFill="1"/>
    <xf numFmtId="167" fontId="1" fillId="0" borderId="0" xfId="0" applyNumberFormat="1" applyFont="1" applyFill="1" applyAlignment="1">
      <alignment horizontal="center"/>
    </xf>
    <xf numFmtId="0" fontId="1" fillId="6" borderId="0" xfId="0" quotePrefix="1" applyFont="1" applyFill="1"/>
    <xf numFmtId="0" fontId="0" fillId="4" borderId="21" xfId="0" applyFill="1" applyBorder="1"/>
    <xf numFmtId="0" fontId="0" fillId="4" borderId="21" xfId="0" applyFill="1" applyBorder="1" applyAlignment="1"/>
    <xf numFmtId="43" fontId="11" fillId="8" borderId="40" xfId="2" applyFont="1" applyFill="1" applyBorder="1" applyAlignment="1">
      <alignment horizontal="center" vertical="center"/>
    </xf>
    <xf numFmtId="0" fontId="12" fillId="4" borderId="0" xfId="0" applyFont="1" applyFill="1" applyBorder="1"/>
    <xf numFmtId="0" fontId="11" fillId="4" borderId="23" xfId="0" applyFont="1" applyFill="1" applyBorder="1" applyAlignment="1">
      <alignment horizontal="center" vertical="center"/>
    </xf>
    <xf numFmtId="43" fontId="11" fillId="8" borderId="15" xfId="2" applyFont="1" applyFill="1" applyBorder="1" applyAlignment="1">
      <alignment horizontal="right"/>
    </xf>
    <xf numFmtId="4" fontId="0" fillId="12" borderId="0" xfId="0" applyNumberFormat="1" applyFont="1" applyFill="1" applyBorder="1" applyAlignment="1" applyProtection="1">
      <alignment horizontal="center" vertical="center"/>
    </xf>
    <xf numFmtId="4" fontId="0" fillId="15" borderId="0" xfId="0" applyNumberFormat="1" applyFont="1" applyFill="1" applyBorder="1" applyAlignment="1" applyProtection="1">
      <alignment horizontal="center" vertical="center"/>
    </xf>
    <xf numFmtId="4" fontId="0" fillId="15" borderId="21" xfId="0" applyNumberFormat="1" applyFont="1" applyFill="1" applyBorder="1" applyAlignment="1" applyProtection="1">
      <alignment horizontal="center" vertical="center"/>
    </xf>
    <xf numFmtId="4" fontId="0" fillId="12" borderId="22" xfId="0" applyNumberFormat="1" applyFont="1" applyFill="1" applyBorder="1" applyAlignment="1" applyProtection="1">
      <alignment horizontal="center" vertical="center"/>
    </xf>
    <xf numFmtId="165" fontId="1" fillId="13" borderId="0" xfId="0" applyNumberFormat="1" applyFont="1" applyFill="1"/>
    <xf numFmtId="0" fontId="24" fillId="0" borderId="0" xfId="0" applyFont="1" applyFill="1" applyAlignment="1">
      <alignment horizontal="left"/>
    </xf>
    <xf numFmtId="0" fontId="25" fillId="0" borderId="0" xfId="0" applyFont="1" applyFill="1"/>
    <xf numFmtId="0" fontId="25" fillId="0" borderId="17" xfId="0" applyFont="1" applyFill="1" applyBorder="1"/>
    <xf numFmtId="0" fontId="25" fillId="0" borderId="23" xfId="0" applyFont="1" applyFill="1" applyBorder="1"/>
    <xf numFmtId="0" fontId="25" fillId="0" borderId="18" xfId="0" applyFont="1" applyFill="1" applyBorder="1"/>
    <xf numFmtId="0" fontId="25" fillId="0" borderId="20" xfId="0" applyFont="1" applyFill="1" applyBorder="1"/>
    <xf numFmtId="0" fontId="25" fillId="0" borderId="0" xfId="0" applyFont="1" applyFill="1" applyBorder="1"/>
    <xf numFmtId="0" fontId="25" fillId="0" borderId="21" xfId="0" applyFont="1" applyFill="1" applyBorder="1"/>
    <xf numFmtId="0" fontId="25" fillId="0" borderId="14" xfId="0" applyFont="1" applyFill="1" applyBorder="1"/>
    <xf numFmtId="0" fontId="25" fillId="0" borderId="12" xfId="0" applyFont="1" applyFill="1" applyBorder="1"/>
    <xf numFmtId="0" fontId="25" fillId="0" borderId="22" xfId="0" applyFont="1" applyFill="1" applyBorder="1"/>
    <xf numFmtId="165" fontId="1" fillId="0" borderId="0" xfId="0" applyNumberFormat="1" applyFont="1" applyFill="1" applyAlignment="1">
      <alignment horizontal="right"/>
    </xf>
    <xf numFmtId="0" fontId="6" fillId="12" borderId="3" xfId="0" applyFont="1" applyFill="1" applyBorder="1" applyAlignment="1" applyProtection="1">
      <alignment horizontal="center" vertical="center"/>
      <protection locked="0"/>
    </xf>
    <xf numFmtId="0" fontId="0" fillId="12" borderId="0" xfId="0" applyFill="1" applyBorder="1" applyAlignment="1" applyProtection="1">
      <alignment horizontal="center"/>
      <protection locked="0"/>
    </xf>
    <xf numFmtId="0" fontId="0" fillId="12" borderId="0" xfId="0" applyFill="1" applyBorder="1" applyAlignment="1" applyProtection="1">
      <alignment horizontal="center"/>
      <protection locked="0"/>
    </xf>
    <xf numFmtId="2" fontId="11" fillId="8" borderId="15" xfId="0" applyNumberFormat="1" applyFont="1" applyFill="1" applyBorder="1" applyAlignment="1">
      <alignment horizontal="center"/>
    </xf>
    <xf numFmtId="0" fontId="11" fillId="8" borderId="41" xfId="0" applyFont="1" applyFill="1" applyBorder="1" applyAlignment="1">
      <alignment wrapText="1"/>
    </xf>
    <xf numFmtId="165" fontId="0" fillId="16" borderId="5" xfId="0" applyNumberFormat="1" applyFont="1" applyFill="1" applyBorder="1" applyAlignment="1" applyProtection="1">
      <alignment horizontal="center" vertical="center"/>
    </xf>
    <xf numFmtId="2" fontId="0" fillId="8" borderId="42" xfId="0" applyNumberFormat="1" applyFont="1" applyFill="1" applyBorder="1" applyAlignment="1" applyProtection="1">
      <alignment horizontal="center" vertical="center"/>
    </xf>
    <xf numFmtId="0" fontId="0" fillId="4" borderId="0" xfId="0" applyFill="1" applyBorder="1" applyAlignment="1"/>
    <xf numFmtId="0" fontId="0" fillId="12" borderId="0" xfId="0" applyFill="1" applyBorder="1" applyAlignment="1" applyProtection="1">
      <alignment horizontal="center"/>
      <protection locked="0"/>
    </xf>
    <xf numFmtId="2" fontId="2" fillId="12" borderId="5" xfId="12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1" fillId="4" borderId="4" xfId="0" applyFont="1" applyFill="1" applyBorder="1"/>
    <xf numFmtId="9" fontId="2" fillId="8" borderId="5" xfId="0" applyNumberFormat="1" applyFont="1" applyFill="1" applyBorder="1" applyAlignment="1" applyProtection="1">
      <alignment horizontal="center" vertical="center"/>
    </xf>
    <xf numFmtId="4" fontId="1" fillId="12" borderId="0" xfId="0" applyNumberFormat="1" applyFont="1" applyFill="1" applyBorder="1" applyAlignment="1" applyProtection="1">
      <alignment horizontal="center" vertical="center"/>
      <protection locked="0"/>
    </xf>
    <xf numFmtId="0" fontId="2" fillId="12" borderId="14" xfId="0" applyFont="1" applyFill="1" applyBorder="1" applyAlignment="1" applyProtection="1">
      <alignment horizontal="center" vertical="center"/>
      <protection locked="0"/>
    </xf>
    <xf numFmtId="0" fontId="2" fillId="12" borderId="12" xfId="0" applyFont="1" applyFill="1" applyBorder="1" applyAlignment="1" applyProtection="1">
      <alignment horizontal="center" vertical="center"/>
      <protection locked="0"/>
    </xf>
    <xf numFmtId="0" fontId="2" fillId="12" borderId="22" xfId="0" applyFont="1" applyFill="1" applyBorder="1" applyAlignment="1" applyProtection="1">
      <alignment horizontal="center" vertical="center"/>
      <protection locked="0"/>
    </xf>
    <xf numFmtId="0" fontId="11" fillId="12" borderId="0" xfId="0" applyFont="1" applyFill="1" applyBorder="1" applyAlignment="1" applyProtection="1">
      <alignment horizontal="center" vertical="center" wrapText="1"/>
    </xf>
    <xf numFmtId="0" fontId="11" fillId="12" borderId="21" xfId="0" applyFont="1" applyFill="1" applyBorder="1" applyAlignment="1" applyProtection="1">
      <alignment horizontal="center" vertical="center" wrapText="1"/>
    </xf>
    <xf numFmtId="0" fontId="0" fillId="8" borderId="7" xfId="0" applyFill="1" applyBorder="1" applyProtection="1"/>
    <xf numFmtId="0" fontId="2" fillId="8" borderId="7" xfId="0" applyFont="1" applyFill="1" applyBorder="1" applyProtection="1"/>
    <xf numFmtId="165" fontId="0" fillId="8" borderId="29" xfId="0" applyNumberFormat="1" applyFill="1" applyBorder="1" applyProtection="1"/>
    <xf numFmtId="0" fontId="1" fillId="12" borderId="20" xfId="0" applyFont="1" applyFill="1" applyBorder="1" applyAlignment="1" applyProtection="1">
      <alignment horizontal="center" vertical="center"/>
      <protection locked="0"/>
    </xf>
    <xf numFmtId="0" fontId="0" fillId="12" borderId="32" xfId="0" applyFont="1" applyFill="1" applyBorder="1" applyAlignment="1" applyProtection="1">
      <alignment horizontal="center" vertical="center"/>
    </xf>
    <xf numFmtId="0" fontId="0" fillId="12" borderId="23" xfId="0" applyFont="1" applyFill="1" applyBorder="1" applyAlignment="1" applyProtection="1">
      <alignment horizontal="center" vertical="center"/>
    </xf>
    <xf numFmtId="0" fontId="2" fillId="12" borderId="23" xfId="0" applyFont="1" applyFill="1" applyBorder="1" applyAlignment="1" applyProtection="1">
      <alignment horizontal="center" vertical="center"/>
    </xf>
    <xf numFmtId="0" fontId="0" fillId="12" borderId="6" xfId="0" applyFont="1" applyFill="1" applyBorder="1" applyAlignment="1" applyProtection="1">
      <alignment horizontal="center" vertical="center"/>
    </xf>
    <xf numFmtId="0" fontId="0" fillId="12" borderId="7" xfId="0" applyFont="1" applyFill="1" applyBorder="1" applyAlignment="1" applyProtection="1">
      <alignment horizontal="center" vertical="center"/>
    </xf>
    <xf numFmtId="0" fontId="2" fillId="12" borderId="7" xfId="0" applyFont="1" applyFill="1" applyBorder="1" applyAlignment="1" applyProtection="1">
      <alignment horizontal="center" vertical="center"/>
    </xf>
    <xf numFmtId="0" fontId="28" fillId="0" borderId="13" xfId="8" applyFont="1" applyFill="1" applyBorder="1" applyAlignment="1"/>
    <xf numFmtId="0" fontId="28" fillId="0" borderId="23" xfId="8" applyFont="1" applyFill="1" applyBorder="1" applyAlignment="1"/>
    <xf numFmtId="0" fontId="0" fillId="0" borderId="23" xfId="0" applyFill="1" applyBorder="1"/>
    <xf numFmtId="0" fontId="27" fillId="0" borderId="23" xfId="8" applyFont="1" applyBorder="1"/>
    <xf numFmtId="0" fontId="1" fillId="12" borderId="12" xfId="0" applyFont="1" applyFill="1" applyBorder="1" applyAlignment="1" applyProtection="1">
      <alignment horizontal="center" vertical="center"/>
      <protection locked="0"/>
    </xf>
    <xf numFmtId="165" fontId="0" fillId="12" borderId="43" xfId="0" applyNumberFormat="1" applyFill="1" applyBorder="1" applyProtection="1">
      <protection locked="0"/>
    </xf>
    <xf numFmtId="165" fontId="0" fillId="12" borderId="44" xfId="0" applyNumberFormat="1" applyFill="1" applyBorder="1" applyProtection="1">
      <protection locked="0"/>
    </xf>
    <xf numFmtId="165" fontId="0" fillId="12" borderId="45" xfId="0" applyNumberFormat="1" applyFill="1" applyBorder="1" applyProtection="1">
      <protection locked="0"/>
    </xf>
    <xf numFmtId="0" fontId="0" fillId="12" borderId="0" xfId="0" applyFill="1" applyBorder="1" applyProtection="1"/>
    <xf numFmtId="0" fontId="0" fillId="8" borderId="5" xfId="0" applyFill="1" applyBorder="1" applyProtection="1"/>
    <xf numFmtId="8" fontId="0" fillId="12" borderId="0" xfId="0" applyNumberFormat="1" applyFill="1" applyBorder="1" applyProtection="1"/>
    <xf numFmtId="8" fontId="2" fillId="8" borderId="5" xfId="0" applyNumberFormat="1" applyFont="1" applyFill="1" applyBorder="1" applyProtection="1"/>
    <xf numFmtId="0" fontId="2" fillId="4" borderId="4" xfId="0" applyFont="1" applyFill="1" applyBorder="1" applyProtection="1"/>
    <xf numFmtId="0" fontId="2" fillId="4" borderId="0" xfId="0" applyFont="1" applyFill="1" applyBorder="1" applyProtection="1"/>
    <xf numFmtId="0" fontId="2" fillId="8" borderId="5" xfId="0" applyFont="1" applyFill="1" applyBorder="1" applyProtection="1"/>
    <xf numFmtId="8" fontId="2" fillId="8" borderId="29" xfId="0" applyNumberFormat="1" applyFont="1" applyFill="1" applyBorder="1" applyProtection="1"/>
    <xf numFmtId="0" fontId="28" fillId="17" borderId="0" xfId="8" applyFont="1" applyFill="1" applyBorder="1" applyAlignment="1"/>
    <xf numFmtId="0" fontId="27" fillId="17" borderId="0" xfId="8" applyFont="1" applyFill="1" applyBorder="1" applyAlignment="1">
      <alignment horizontal="center"/>
    </xf>
    <xf numFmtId="0" fontId="27" fillId="17" borderId="0" xfId="8" applyFont="1" applyFill="1"/>
    <xf numFmtId="0" fontId="2" fillId="17" borderId="17" xfId="8" applyFont="1" applyFill="1" applyBorder="1" applyAlignment="1">
      <alignment horizontal="center" wrapText="1"/>
    </xf>
    <xf numFmtId="0" fontId="16" fillId="17" borderId="17" xfId="8" applyFill="1" applyBorder="1" applyAlignment="1">
      <alignment horizontal="center" vertical="top" wrapText="1"/>
    </xf>
    <xf numFmtId="0" fontId="2" fillId="17" borderId="23" xfId="8" applyFont="1" applyFill="1" applyBorder="1" applyAlignment="1">
      <alignment vertical="top"/>
    </xf>
    <xf numFmtId="0" fontId="2" fillId="17" borderId="18" xfId="8" applyFont="1" applyFill="1" applyBorder="1" applyAlignment="1">
      <alignment vertical="top" wrapText="1"/>
    </xf>
    <xf numFmtId="0" fontId="16" fillId="17" borderId="20" xfId="8" applyFill="1" applyBorder="1" applyAlignment="1">
      <alignment horizontal="center"/>
    </xf>
    <xf numFmtId="170" fontId="29" fillId="17" borderId="20" xfId="3" quotePrefix="1" applyNumberFormat="1" applyFont="1" applyFill="1" applyBorder="1"/>
    <xf numFmtId="0" fontId="16" fillId="17" borderId="0" xfId="8" applyFill="1" applyBorder="1" applyAlignment="1">
      <alignment horizontal="center"/>
    </xf>
    <xf numFmtId="173" fontId="16" fillId="17" borderId="0" xfId="8" applyNumberFormat="1" applyFill="1" applyBorder="1"/>
    <xf numFmtId="173" fontId="16" fillId="17" borderId="21" xfId="8" applyNumberFormat="1" applyFill="1" applyBorder="1"/>
    <xf numFmtId="0" fontId="16" fillId="17" borderId="14" xfId="8" applyFill="1" applyBorder="1" applyAlignment="1">
      <alignment horizontal="center"/>
    </xf>
    <xf numFmtId="0" fontId="16" fillId="17" borderId="12" xfId="8" applyFill="1" applyBorder="1" applyAlignment="1">
      <alignment horizontal="center"/>
    </xf>
    <xf numFmtId="173" fontId="16" fillId="17" borderId="12" xfId="8" applyNumberFormat="1" applyFill="1" applyBorder="1"/>
    <xf numFmtId="173" fontId="16" fillId="17" borderId="22" xfId="8" applyNumberFormat="1" applyFill="1" applyBorder="1"/>
    <xf numFmtId="170" fontId="29" fillId="17" borderId="0" xfId="3" quotePrefix="1" applyNumberFormat="1" applyFont="1" applyFill="1" applyBorder="1"/>
    <xf numFmtId="164" fontId="16" fillId="17" borderId="0" xfId="8" applyNumberFormat="1" applyFill="1" applyBorder="1"/>
    <xf numFmtId="0" fontId="3" fillId="17" borderId="0" xfId="8" applyFont="1" applyFill="1" applyBorder="1" applyAlignment="1">
      <alignment horizontal="center"/>
    </xf>
    <xf numFmtId="0" fontId="16" fillId="17" borderId="0" xfId="8" applyFill="1"/>
    <xf numFmtId="0" fontId="16" fillId="17" borderId="0" xfId="8" applyFill="1" applyAlignment="1">
      <alignment horizontal="center"/>
    </xf>
    <xf numFmtId="8" fontId="16" fillId="17" borderId="0" xfId="8" applyNumberFormat="1" applyFill="1"/>
    <xf numFmtId="2" fontId="16" fillId="17" borderId="0" xfId="8" applyNumberFormat="1" applyFill="1" applyAlignment="1">
      <alignment horizontal="center"/>
    </xf>
    <xf numFmtId="0" fontId="28" fillId="17" borderId="23" xfId="8" applyFont="1" applyFill="1" applyBorder="1" applyAlignment="1"/>
    <xf numFmtId="0" fontId="27" fillId="17" borderId="23" xfId="8" applyFont="1" applyFill="1" applyBorder="1" applyAlignment="1">
      <alignment horizontal="center"/>
    </xf>
    <xf numFmtId="0" fontId="27" fillId="17" borderId="23" xfId="8" applyFont="1" applyFill="1" applyBorder="1"/>
    <xf numFmtId="0" fontId="28" fillId="17" borderId="18" xfId="8" applyFont="1" applyFill="1" applyBorder="1" applyAlignment="1"/>
    <xf numFmtId="0" fontId="2" fillId="17" borderId="18" xfId="8" applyFont="1" applyFill="1" applyBorder="1" applyAlignment="1">
      <alignment vertical="top"/>
    </xf>
    <xf numFmtId="170" fontId="29" fillId="17" borderId="14" xfId="3" quotePrefix="1" applyNumberFormat="1" applyFont="1" applyFill="1" applyBorder="1"/>
    <xf numFmtId="174" fontId="3" fillId="0" borderId="22" xfId="12" applyNumberFormat="1" applyFont="1" applyFill="1" applyBorder="1" applyAlignment="1">
      <alignment horizontal="center"/>
    </xf>
    <xf numFmtId="0" fontId="16" fillId="0" borderId="0" xfId="8" applyAlignment="1">
      <alignment horizontal="left"/>
    </xf>
    <xf numFmtId="0" fontId="38" fillId="0" borderId="0" xfId="0" applyFont="1"/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39" fillId="0" borderId="9" xfId="0" applyFont="1" applyBorder="1" applyAlignment="1">
      <alignment vertical="top"/>
    </xf>
    <xf numFmtId="0" fontId="39" fillId="0" borderId="9" xfId="0" applyFont="1" applyBorder="1" applyAlignment="1">
      <alignment vertical="top" wrapText="1"/>
    </xf>
    <xf numFmtId="0" fontId="38" fillId="0" borderId="9" xfId="0" applyFont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left" vertical="center" wrapText="1"/>
    </xf>
    <xf numFmtId="0" fontId="38" fillId="0" borderId="9" xfId="0" applyFont="1" applyBorder="1" applyAlignment="1">
      <alignment horizontal="center" vertical="center"/>
    </xf>
    <xf numFmtId="2" fontId="38" fillId="0" borderId="9" xfId="0" applyNumberFormat="1" applyFon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0" fontId="33" fillId="12" borderId="30" xfId="0" applyFont="1" applyFill="1" applyBorder="1" applyAlignment="1" applyProtection="1">
      <alignment horizontal="center" vertical="center" wrapText="1"/>
    </xf>
    <xf numFmtId="0" fontId="33" fillId="12" borderId="48" xfId="0" applyFont="1" applyFill="1" applyBorder="1" applyAlignment="1" applyProtection="1">
      <alignment horizontal="center" vertical="center" wrapText="1"/>
    </xf>
    <xf numFmtId="0" fontId="41" fillId="0" borderId="0" xfId="0" applyFont="1"/>
    <xf numFmtId="0" fontId="33" fillId="8" borderId="47" xfId="0" applyFont="1" applyFill="1" applyBorder="1" applyAlignment="1" applyProtection="1">
      <alignment horizontal="center" vertical="center" wrapText="1"/>
    </xf>
    <xf numFmtId="0" fontId="33" fillId="5" borderId="48" xfId="0" applyFont="1" applyFill="1" applyBorder="1" applyAlignment="1" applyProtection="1">
      <alignment horizontal="center" vertical="center" wrapText="1"/>
    </xf>
    <xf numFmtId="0" fontId="0" fillId="5" borderId="23" xfId="0" applyFont="1" applyFill="1" applyBorder="1" applyAlignment="1" applyProtection="1">
      <alignment horizontal="center" vertical="center"/>
    </xf>
    <xf numFmtId="0" fontId="0" fillId="5" borderId="7" xfId="0" applyFont="1" applyFill="1" applyBorder="1" applyAlignment="1" applyProtection="1">
      <alignment horizontal="center" vertical="center"/>
    </xf>
    <xf numFmtId="0" fontId="42" fillId="5" borderId="48" xfId="0" applyFont="1" applyFill="1" applyBorder="1" applyAlignment="1" applyProtection="1">
      <alignment horizontal="center" vertical="center" wrapText="1"/>
    </xf>
    <xf numFmtId="0" fontId="2" fillId="5" borderId="23" xfId="0" applyNumberFormat="1" applyFont="1" applyFill="1" applyBorder="1" applyAlignment="1" applyProtection="1">
      <alignment horizontal="center" vertical="center"/>
    </xf>
    <xf numFmtId="0" fontId="2" fillId="5" borderId="23" xfId="0" applyFont="1" applyFill="1" applyBorder="1" applyAlignment="1" applyProtection="1">
      <alignment horizontal="center" vertical="center"/>
    </xf>
    <xf numFmtId="0" fontId="2" fillId="5" borderId="7" xfId="0" applyNumberFormat="1" applyFont="1" applyFill="1" applyBorder="1" applyAlignment="1" applyProtection="1">
      <alignment horizontal="center" vertical="center"/>
    </xf>
    <xf numFmtId="0" fontId="2" fillId="5" borderId="7" xfId="0" applyFont="1" applyFill="1" applyBorder="1" applyAlignment="1" applyProtection="1">
      <alignment horizontal="center" vertical="center"/>
    </xf>
    <xf numFmtId="14" fontId="1" fillId="12" borderId="0" xfId="0" applyNumberFormat="1" applyFont="1" applyFill="1" applyBorder="1" applyAlignment="1" applyProtection="1">
      <alignment horizontal="center" vertical="center"/>
      <protection locked="0"/>
    </xf>
    <xf numFmtId="0" fontId="1" fillId="12" borderId="0" xfId="0" applyNumberFormat="1" applyFont="1" applyFill="1" applyBorder="1" applyAlignment="1" applyProtection="1">
      <alignment horizontal="center" vertical="center"/>
      <protection locked="0"/>
    </xf>
    <xf numFmtId="0" fontId="26" fillId="5" borderId="0" xfId="0" applyFont="1" applyFill="1" applyBorder="1" applyAlignment="1" applyProtection="1">
      <alignment horizontal="center" vertical="center"/>
    </xf>
    <xf numFmtId="165" fontId="1" fillId="12" borderId="0" xfId="0" applyNumberFormat="1" applyFont="1" applyFill="1" applyBorder="1" applyAlignment="1" applyProtection="1">
      <alignment horizontal="center" vertical="center"/>
      <protection locked="0"/>
    </xf>
    <xf numFmtId="0" fontId="1" fillId="5" borderId="0" xfId="0" applyFont="1" applyFill="1" applyBorder="1" applyAlignment="1" applyProtection="1">
      <alignment horizontal="center" vertical="center"/>
      <protection locked="0"/>
    </xf>
    <xf numFmtId="14" fontId="1" fillId="5" borderId="0" xfId="0" applyNumberFormat="1" applyFont="1" applyFill="1" applyBorder="1" applyAlignment="1" applyProtection="1">
      <alignment horizontal="center" vertical="center"/>
      <protection locked="0"/>
    </xf>
    <xf numFmtId="10" fontId="1" fillId="12" borderId="0" xfId="12" applyNumberFormat="1" applyFont="1" applyFill="1" applyBorder="1" applyAlignment="1" applyProtection="1">
      <alignment horizontal="center" vertical="center"/>
      <protection locked="0"/>
    </xf>
    <xf numFmtId="166" fontId="1" fillId="12" borderId="0" xfId="0" applyNumberFormat="1" applyFont="1" applyFill="1" applyBorder="1" applyAlignment="1" applyProtection="1">
      <alignment horizontal="center" vertical="center"/>
      <protection locked="0"/>
    </xf>
    <xf numFmtId="166" fontId="1" fillId="5" borderId="0" xfId="0" applyNumberFormat="1" applyFont="1" applyFill="1" applyBorder="1" applyAlignment="1" applyProtection="1">
      <alignment horizontal="center" vertical="center"/>
    </xf>
    <xf numFmtId="0" fontId="1" fillId="12" borderId="14" xfId="0" applyFont="1" applyFill="1" applyBorder="1" applyAlignment="1" applyProtection="1">
      <alignment horizontal="center" vertical="center"/>
      <protection locked="0"/>
    </xf>
    <xf numFmtId="165" fontId="1" fillId="12" borderId="12" xfId="0" applyNumberFormat="1" applyFont="1" applyFill="1" applyBorder="1" applyAlignment="1" applyProtection="1">
      <alignment horizontal="center" vertical="center"/>
      <protection locked="0"/>
    </xf>
    <xf numFmtId="0" fontId="1" fillId="12" borderId="12" xfId="0" applyNumberFormat="1" applyFont="1" applyFill="1" applyBorder="1" applyAlignment="1" applyProtection="1">
      <alignment horizontal="center" vertical="center"/>
      <protection locked="0"/>
    </xf>
    <xf numFmtId="0" fontId="1" fillId="5" borderId="12" xfId="0" applyFont="1" applyFill="1" applyBorder="1" applyAlignment="1" applyProtection="1">
      <alignment horizontal="center" vertical="center"/>
      <protection locked="0"/>
    </xf>
    <xf numFmtId="0" fontId="26" fillId="5" borderId="12" xfId="0" applyFont="1" applyFill="1" applyBorder="1" applyAlignment="1" applyProtection="1">
      <alignment horizontal="center" vertical="center"/>
    </xf>
    <xf numFmtId="10" fontId="1" fillId="12" borderId="12" xfId="12" applyNumberFormat="1" applyFont="1" applyFill="1" applyBorder="1" applyAlignment="1" applyProtection="1">
      <alignment horizontal="center" vertical="center"/>
      <protection locked="0"/>
    </xf>
    <xf numFmtId="166" fontId="1" fillId="12" borderId="12" xfId="0" applyNumberFormat="1" applyFont="1" applyFill="1" applyBorder="1" applyAlignment="1" applyProtection="1">
      <alignment horizontal="center" vertical="center"/>
      <protection locked="0"/>
    </xf>
    <xf numFmtId="0" fontId="32" fillId="4" borderId="1" xfId="0" applyFont="1" applyFill="1" applyBorder="1" applyProtection="1"/>
    <xf numFmtId="0" fontId="32" fillId="4" borderId="2" xfId="0" applyFont="1" applyFill="1" applyBorder="1" applyProtection="1"/>
    <xf numFmtId="0" fontId="0" fillId="4" borderId="2" xfId="0" applyFill="1" applyBorder="1" applyProtection="1"/>
    <xf numFmtId="165" fontId="23" fillId="8" borderId="1" xfId="0" applyNumberFormat="1" applyFont="1" applyFill="1" applyBorder="1" applyAlignment="1" applyProtection="1">
      <alignment horizontal="center"/>
    </xf>
    <xf numFmtId="165" fontId="23" fillId="8" borderId="3" xfId="0" applyNumberFormat="1" applyFont="1" applyFill="1" applyBorder="1" applyAlignment="1" applyProtection="1">
      <alignment horizontal="center"/>
    </xf>
    <xf numFmtId="0" fontId="33" fillId="8" borderId="11" xfId="0" applyFont="1" applyFill="1" applyBorder="1" applyAlignment="1" applyProtection="1">
      <alignment horizontal="center" vertical="center" wrapText="1"/>
    </xf>
    <xf numFmtId="14" fontId="1" fillId="5" borderId="0" xfId="0" applyNumberFormat="1" applyFont="1" applyFill="1" applyBorder="1" applyAlignment="1" applyProtection="1">
      <alignment horizontal="center" vertical="center"/>
    </xf>
    <xf numFmtId="0" fontId="1" fillId="5" borderId="0" xfId="0" applyFont="1" applyFill="1" applyBorder="1" applyAlignment="1" applyProtection="1">
      <alignment horizontal="center" vertical="center"/>
    </xf>
    <xf numFmtId="10" fontId="1" fillId="5" borderId="0" xfId="12" applyNumberFormat="1" applyFont="1" applyFill="1" applyBorder="1" applyAlignment="1" applyProtection="1">
      <alignment horizontal="center" vertical="center"/>
    </xf>
    <xf numFmtId="0" fontId="1" fillId="5" borderId="0" xfId="0" applyNumberFormat="1" applyFont="1" applyFill="1" applyBorder="1" applyAlignment="1" applyProtection="1">
      <alignment horizontal="center" vertical="center"/>
    </xf>
    <xf numFmtId="165" fontId="2" fillId="8" borderId="46" xfId="0" applyNumberFormat="1" applyFont="1" applyFill="1" applyBorder="1" applyAlignment="1" applyProtection="1">
      <alignment horizontal="center" vertical="center"/>
    </xf>
    <xf numFmtId="165" fontId="1" fillId="8" borderId="5" xfId="0" applyNumberFormat="1" applyFont="1" applyFill="1" applyBorder="1" applyAlignment="1" applyProtection="1">
      <alignment horizontal="center" vertical="center"/>
    </xf>
    <xf numFmtId="165" fontId="1" fillId="8" borderId="46" xfId="0" applyNumberFormat="1" applyFont="1" applyFill="1" applyBorder="1" applyAlignment="1" applyProtection="1">
      <alignment horizontal="center" vertical="center"/>
    </xf>
    <xf numFmtId="0" fontId="1" fillId="5" borderId="12" xfId="0" applyFont="1" applyFill="1" applyBorder="1" applyAlignment="1" applyProtection="1">
      <alignment horizontal="center" vertical="center"/>
    </xf>
    <xf numFmtId="10" fontId="1" fillId="5" borderId="12" xfId="12" applyNumberFormat="1" applyFont="1" applyFill="1" applyBorder="1" applyAlignment="1" applyProtection="1">
      <alignment horizontal="center" vertical="center"/>
    </xf>
    <xf numFmtId="165" fontId="2" fillId="8" borderId="50" xfId="0" applyNumberFormat="1" applyFont="1" applyFill="1" applyBorder="1" applyAlignment="1" applyProtection="1">
      <alignment horizontal="center" vertical="center"/>
    </xf>
    <xf numFmtId="165" fontId="2" fillId="8" borderId="29" xfId="0" applyNumberFormat="1" applyFont="1" applyFill="1" applyBorder="1" applyAlignment="1" applyProtection="1">
      <alignment horizontal="center" vertical="center"/>
    </xf>
    <xf numFmtId="165" fontId="2" fillId="8" borderId="49" xfId="0" applyNumberFormat="1" applyFont="1" applyFill="1" applyBorder="1" applyAlignment="1" applyProtection="1">
      <alignment horizontal="center" vertical="center"/>
    </xf>
    <xf numFmtId="165" fontId="0" fillId="8" borderId="8" xfId="0" applyNumberFormat="1" applyFont="1" applyFill="1" applyBorder="1" applyAlignment="1" applyProtection="1">
      <alignment horizontal="center" vertical="center"/>
    </xf>
    <xf numFmtId="0" fontId="11" fillId="8" borderId="4" xfId="0" applyFont="1" applyFill="1" applyBorder="1" applyAlignment="1">
      <alignment horizontal="center" wrapText="1"/>
    </xf>
    <xf numFmtId="0" fontId="11" fillId="8" borderId="0" xfId="0" applyFont="1" applyFill="1" applyBorder="1" applyAlignment="1">
      <alignment horizontal="center" wrapText="1"/>
    </xf>
    <xf numFmtId="165" fontId="11" fillId="8" borderId="6" xfId="0" applyNumberFormat="1" applyFont="1" applyFill="1" applyBorder="1" applyAlignment="1">
      <alignment horizontal="center"/>
    </xf>
    <xf numFmtId="165" fontId="11" fillId="8" borderId="7" xfId="0" applyNumberFormat="1" applyFont="1" applyFill="1" applyBorder="1" applyAlignment="1">
      <alignment horizontal="center"/>
    </xf>
    <xf numFmtId="0" fontId="2" fillId="8" borderId="6" xfId="0" applyFont="1" applyFill="1" applyBorder="1" applyAlignment="1" applyProtection="1">
      <alignment horizontal="center"/>
    </xf>
    <xf numFmtId="0" fontId="2" fillId="8" borderId="7" xfId="0" applyFont="1" applyFill="1" applyBorder="1" applyAlignment="1" applyProtection="1">
      <alignment horizontal="center"/>
    </xf>
    <xf numFmtId="0" fontId="2" fillId="8" borderId="1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11" fillId="8" borderId="13" xfId="0" applyFont="1" applyFill="1" applyBorder="1" applyAlignment="1">
      <alignment horizontal="center" vertical="center" wrapText="1"/>
    </xf>
    <xf numFmtId="0" fontId="11" fillId="8" borderId="15" xfId="0" applyFont="1" applyFill="1" applyBorder="1" applyAlignment="1">
      <alignment horizontal="center" vertical="center" wrapText="1"/>
    </xf>
    <xf numFmtId="0" fontId="11" fillId="8" borderId="25" xfId="0" applyFont="1" applyFill="1" applyBorder="1" applyAlignment="1">
      <alignment horizontal="center" vertical="center" wrapText="1"/>
    </xf>
    <xf numFmtId="43" fontId="11" fillId="8" borderId="15" xfId="2" applyFont="1" applyFill="1" applyBorder="1" applyAlignment="1">
      <alignment horizontal="center"/>
    </xf>
    <xf numFmtId="0" fontId="2" fillId="8" borderId="34" xfId="0" applyFont="1" applyFill="1" applyBorder="1" applyAlignment="1">
      <alignment horizontal="center"/>
    </xf>
    <xf numFmtId="0" fontId="2" fillId="8" borderId="35" xfId="0" applyFont="1" applyFill="1" applyBorder="1" applyAlignment="1">
      <alignment horizontal="center"/>
    </xf>
    <xf numFmtId="0" fontId="2" fillId="8" borderId="36" xfId="0" applyFont="1" applyFill="1" applyBorder="1" applyAlignment="1">
      <alignment horizontal="center"/>
    </xf>
    <xf numFmtId="165" fontId="11" fillId="8" borderId="38" xfId="0" applyNumberFormat="1" applyFont="1" applyFill="1" applyBorder="1" applyAlignment="1">
      <alignment horizontal="center"/>
    </xf>
    <xf numFmtId="165" fontId="11" fillId="8" borderId="27" xfId="0" applyNumberFormat="1" applyFont="1" applyFill="1" applyBorder="1" applyAlignment="1">
      <alignment horizontal="center"/>
    </xf>
    <xf numFmtId="0" fontId="0" fillId="12" borderId="0" xfId="0" applyFill="1" applyBorder="1" applyAlignment="1" applyProtection="1">
      <alignment horizontal="center"/>
      <protection locked="0"/>
    </xf>
    <xf numFmtId="0" fontId="0" fillId="8" borderId="6" xfId="0" applyFill="1" applyBorder="1" applyAlignment="1" applyProtection="1">
      <alignment horizontal="center"/>
    </xf>
    <xf numFmtId="0" fontId="0" fillId="8" borderId="7" xfId="0" applyFill="1" applyBorder="1" applyAlignment="1" applyProtection="1">
      <alignment horizontal="center"/>
    </xf>
    <xf numFmtId="0" fontId="2" fillId="8" borderId="13" xfId="0" applyFont="1" applyFill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2" fillId="8" borderId="25" xfId="0" applyFont="1" applyFill="1" applyBorder="1" applyAlignment="1">
      <alignment horizontal="center"/>
    </xf>
    <xf numFmtId="2" fontId="11" fillId="8" borderId="13" xfId="0" applyNumberFormat="1" applyFont="1" applyFill="1" applyBorder="1" applyAlignment="1">
      <alignment horizontal="center"/>
    </xf>
    <xf numFmtId="2" fontId="11" fillId="8" borderId="15" xfId="0" applyNumberFormat="1" applyFont="1" applyFill="1" applyBorder="1" applyAlignment="1">
      <alignment horizontal="center"/>
    </xf>
    <xf numFmtId="0" fontId="11" fillId="8" borderId="1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38" fillId="0" borderId="9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/>
    </xf>
    <xf numFmtId="0" fontId="1" fillId="13" borderId="23" xfId="0" applyFont="1" applyFill="1" applyBorder="1" applyAlignment="1">
      <alignment horizontal="center"/>
    </xf>
    <xf numFmtId="0" fontId="1" fillId="13" borderId="18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7" fillId="0" borderId="0" xfId="8" applyFont="1" applyAlignment="1">
      <alignment horizontal="center"/>
    </xf>
    <xf numFmtId="0" fontId="2" fillId="12" borderId="5" xfId="0" applyNumberFormat="1" applyFont="1" applyFill="1" applyBorder="1" applyAlignment="1" applyProtection="1">
      <alignment horizontal="center" vertical="center"/>
      <protection locked="0"/>
    </xf>
  </cellXfs>
  <cellStyles count="15">
    <cellStyle name="Bad" xfId="1" builtinId="27"/>
    <cellStyle name="Comma" xfId="2" builtinId="3"/>
    <cellStyle name="Comma 2" xfId="3" xr:uid="{00000000-0005-0000-0000-000002000000}"/>
    <cellStyle name="Currency" xfId="4" builtinId="4"/>
    <cellStyle name="Currency 2" xfId="5" xr:uid="{00000000-0005-0000-0000-000004000000}"/>
    <cellStyle name="Good" xfId="6" builtinId="26"/>
    <cellStyle name="Heading 2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Percent" xfId="12" builtinId="5"/>
    <cellStyle name="Percent 3" xfId="13" xr:uid="{00000000-0005-0000-0000-00000D000000}"/>
    <cellStyle name="Title 2" xfId="14" xr:uid="{00000000-0005-0000-0000-00000E000000}"/>
  </cellStyles>
  <dxfs count="1"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Thomsett, Ben" id="{83958E58-78A7-4911-BB00-07760E559BAA}" userId="S::Ben.Thomsett@stategrowth.tas.gov.au::e6e3f34b-e161-4884-b0f8-74ed2fadd186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O2" dT="2021-03-26T01:44:32.06" personId="{83958E58-78A7-4911-BB00-07760E559BAA}" id="{561A2B8E-F666-42E8-9152-32DD5DF2989C}">
    <text>RV used here is derived from P (not PP) to avoid circular reference in BCPM)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79"/>
  <sheetViews>
    <sheetView tabSelected="1" topLeftCell="B1" zoomScale="90" zoomScaleNormal="90" workbookViewId="0">
      <selection activeCell="C2" sqref="C2"/>
    </sheetView>
  </sheetViews>
  <sheetFormatPr defaultRowHeight="14.25" customHeight="1" x14ac:dyDescent="0.2"/>
  <cols>
    <col min="1" max="1" width="5.5703125" customWidth="1"/>
    <col min="2" max="2" width="53.28515625" customWidth="1"/>
    <col min="3" max="3" width="18.28515625" customWidth="1"/>
    <col min="4" max="4" width="17.85546875" customWidth="1"/>
    <col min="5" max="5" width="19.42578125" customWidth="1"/>
    <col min="6" max="6" width="15.42578125" customWidth="1"/>
    <col min="7" max="7" width="14.42578125" customWidth="1"/>
    <col min="8" max="8" width="15.28515625" customWidth="1"/>
    <col min="9" max="9" width="16.7109375" customWidth="1"/>
    <col min="10" max="10" width="18" customWidth="1"/>
    <col min="11" max="11" width="15.28515625" customWidth="1"/>
    <col min="12" max="12" width="14.28515625" customWidth="1"/>
    <col min="13" max="13" width="13.7109375" customWidth="1"/>
    <col min="14" max="14" width="15.7109375" customWidth="1"/>
    <col min="15" max="15" width="15.140625" customWidth="1"/>
    <col min="16" max="16" width="13" customWidth="1"/>
    <col min="17" max="17" width="12.85546875" customWidth="1"/>
    <col min="18" max="18" width="14.42578125" customWidth="1"/>
  </cols>
  <sheetData>
    <row r="1" spans="1:19" ht="14.25" customHeight="1" thickBot="1" x14ac:dyDescent="0.3">
      <c r="A1" s="23"/>
      <c r="B1" s="195" t="s">
        <v>138</v>
      </c>
      <c r="C1" s="23"/>
      <c r="D1" s="23"/>
      <c r="E1" s="195" t="s">
        <v>230</v>
      </c>
      <c r="F1" s="23"/>
      <c r="G1" s="23"/>
      <c r="H1" s="23"/>
      <c r="I1" s="23"/>
      <c r="J1" s="23"/>
      <c r="K1" s="23"/>
      <c r="L1" s="474" t="s">
        <v>232</v>
      </c>
      <c r="M1" s="474"/>
      <c r="N1" s="23"/>
      <c r="O1" s="23"/>
      <c r="P1" s="23"/>
      <c r="Q1" s="23"/>
      <c r="R1" s="23"/>
      <c r="S1" s="23"/>
    </row>
    <row r="2" spans="1:19" ht="17.25" customHeight="1" x14ac:dyDescent="0.2">
      <c r="A2" s="23"/>
      <c r="B2" s="197" t="s">
        <v>206</v>
      </c>
      <c r="C2" s="313"/>
      <c r="D2" s="23"/>
      <c r="E2" s="221" t="s">
        <v>228</v>
      </c>
      <c r="F2" s="458" t="s">
        <v>155</v>
      </c>
      <c r="G2" s="458"/>
      <c r="H2" s="458"/>
      <c r="I2" s="458"/>
      <c r="J2" s="222" t="s">
        <v>229</v>
      </c>
      <c r="K2" s="23"/>
      <c r="L2" s="475"/>
      <c r="M2" s="476"/>
      <c r="N2" s="104"/>
      <c r="O2" s="104"/>
      <c r="P2" s="220"/>
      <c r="Q2" s="26"/>
      <c r="R2" s="23"/>
      <c r="S2" s="23"/>
    </row>
    <row r="3" spans="1:19" ht="14.25" customHeight="1" x14ac:dyDescent="0.2">
      <c r="A3" s="23"/>
      <c r="B3" s="198" t="s">
        <v>140</v>
      </c>
      <c r="C3" s="169" t="s">
        <v>141</v>
      </c>
      <c r="D3" s="23"/>
      <c r="E3" s="242" t="s">
        <v>141</v>
      </c>
      <c r="F3" s="463"/>
      <c r="G3" s="463"/>
      <c r="H3" s="463"/>
      <c r="I3" s="463"/>
      <c r="J3" s="347"/>
      <c r="K3" s="23"/>
      <c r="L3" s="477" t="s">
        <v>13</v>
      </c>
      <c r="M3" s="478"/>
      <c r="N3" s="350">
        <v>0</v>
      </c>
      <c r="O3" s="350"/>
      <c r="P3" s="351"/>
      <c r="Q3" s="26"/>
      <c r="R3" s="23"/>
      <c r="S3" s="23"/>
    </row>
    <row r="4" spans="1:19" ht="14.25" customHeight="1" x14ac:dyDescent="0.2">
      <c r="A4" s="23"/>
      <c r="B4" s="198" t="s">
        <v>215</v>
      </c>
      <c r="C4" s="241" t="s">
        <v>252</v>
      </c>
      <c r="D4" s="23"/>
      <c r="E4" s="242" t="s">
        <v>141</v>
      </c>
      <c r="F4" s="463"/>
      <c r="G4" s="463"/>
      <c r="H4" s="463"/>
      <c r="I4" s="463"/>
      <c r="J4" s="348"/>
      <c r="K4" s="23"/>
      <c r="L4" s="477" t="s">
        <v>22</v>
      </c>
      <c r="M4" s="478"/>
      <c r="N4" s="350"/>
      <c r="O4" s="352">
        <v>0</v>
      </c>
      <c r="P4" s="351"/>
      <c r="Q4" s="26"/>
      <c r="R4" s="23"/>
      <c r="S4" s="23"/>
    </row>
    <row r="5" spans="1:19" ht="14.25" customHeight="1" x14ac:dyDescent="0.2">
      <c r="A5" s="23"/>
      <c r="B5" s="168" t="s">
        <v>233</v>
      </c>
      <c r="C5" s="169"/>
      <c r="D5" s="23"/>
      <c r="E5" s="242" t="s">
        <v>141</v>
      </c>
      <c r="F5" s="463"/>
      <c r="G5" s="463"/>
      <c r="H5" s="463"/>
      <c r="I5" s="463"/>
      <c r="J5" s="348"/>
      <c r="K5" s="23"/>
      <c r="L5" s="477" t="s">
        <v>16</v>
      </c>
      <c r="M5" s="478"/>
      <c r="N5" s="350"/>
      <c r="O5" s="350"/>
      <c r="P5" s="353">
        <f>N3*O4</f>
        <v>0</v>
      </c>
      <c r="Q5" s="26"/>
      <c r="R5" s="23"/>
      <c r="S5" s="23"/>
    </row>
    <row r="6" spans="1:19" ht="14.25" customHeight="1" x14ac:dyDescent="0.2">
      <c r="A6" s="23"/>
      <c r="B6" s="168" t="s">
        <v>147</v>
      </c>
      <c r="C6" s="169" t="s">
        <v>148</v>
      </c>
      <c r="D6" s="23"/>
      <c r="E6" s="242" t="s">
        <v>141</v>
      </c>
      <c r="F6" s="463"/>
      <c r="G6" s="463"/>
      <c r="H6" s="463"/>
      <c r="I6" s="463"/>
      <c r="J6" s="348"/>
      <c r="K6" s="23"/>
      <c r="L6" s="477" t="s">
        <v>5</v>
      </c>
      <c r="M6" s="478"/>
      <c r="N6" s="350"/>
      <c r="O6" s="350"/>
      <c r="P6" s="351"/>
      <c r="Q6" s="26"/>
      <c r="R6" s="23"/>
      <c r="S6" s="23"/>
    </row>
    <row r="7" spans="1:19" ht="14.25" customHeight="1" x14ac:dyDescent="0.2">
      <c r="A7" s="23"/>
      <c r="B7" s="170" t="s">
        <v>149</v>
      </c>
      <c r="C7" s="169" t="s">
        <v>65</v>
      </c>
      <c r="D7" s="23"/>
      <c r="E7" s="242" t="s">
        <v>141</v>
      </c>
      <c r="F7" s="463"/>
      <c r="G7" s="463"/>
      <c r="H7" s="463"/>
      <c r="I7" s="463"/>
      <c r="J7" s="348"/>
      <c r="K7" s="23"/>
      <c r="L7" s="477" t="s">
        <v>14</v>
      </c>
      <c r="M7" s="478"/>
      <c r="N7" s="350">
        <v>0</v>
      </c>
      <c r="O7" s="350"/>
      <c r="P7" s="351"/>
      <c r="Q7" s="26"/>
      <c r="R7" s="23"/>
      <c r="S7" s="23"/>
    </row>
    <row r="8" spans="1:19" ht="14.25" customHeight="1" x14ac:dyDescent="0.2">
      <c r="A8" s="23"/>
      <c r="B8" s="168" t="s">
        <v>183</v>
      </c>
      <c r="C8" s="169" t="s">
        <v>65</v>
      </c>
      <c r="D8" s="23"/>
      <c r="E8" s="242" t="s">
        <v>141</v>
      </c>
      <c r="F8" s="463"/>
      <c r="G8" s="463"/>
      <c r="H8" s="463"/>
      <c r="I8" s="463"/>
      <c r="J8" s="348"/>
      <c r="K8" s="23"/>
      <c r="L8" s="477" t="s">
        <v>15</v>
      </c>
      <c r="M8" s="478"/>
      <c r="N8" s="350"/>
      <c r="O8" s="352">
        <v>0</v>
      </c>
      <c r="P8" s="351"/>
      <c r="Q8" s="26"/>
      <c r="R8" s="23"/>
      <c r="S8" s="23"/>
    </row>
    <row r="9" spans="1:19" ht="14.25" customHeight="1" x14ac:dyDescent="0.2">
      <c r="A9" s="23"/>
      <c r="B9" s="168" t="s">
        <v>150</v>
      </c>
      <c r="C9" s="169"/>
      <c r="D9" s="23"/>
      <c r="E9" s="242" t="s">
        <v>141</v>
      </c>
      <c r="F9" s="463"/>
      <c r="G9" s="463"/>
      <c r="H9" s="463"/>
      <c r="I9" s="463"/>
      <c r="J9" s="348"/>
      <c r="K9" s="23"/>
      <c r="L9" s="477" t="s">
        <v>16</v>
      </c>
      <c r="M9" s="478"/>
      <c r="N9" s="350"/>
      <c r="O9" s="350"/>
      <c r="P9" s="353">
        <f>N7*O8</f>
        <v>0</v>
      </c>
      <c r="Q9" s="26"/>
      <c r="R9" s="23"/>
      <c r="S9" s="23"/>
    </row>
    <row r="10" spans="1:19" ht="14.25" customHeight="1" x14ac:dyDescent="0.2">
      <c r="A10" s="23"/>
      <c r="B10" s="170" t="s">
        <v>253</v>
      </c>
      <c r="C10" s="325">
        <f>IFERROR('GA Rates &amp; Allowances'!B106,0)</f>
        <v>0</v>
      </c>
      <c r="D10" s="23"/>
      <c r="E10" s="242" t="s">
        <v>141</v>
      </c>
      <c r="F10" s="463"/>
      <c r="G10" s="463"/>
      <c r="H10" s="463"/>
      <c r="I10" s="463"/>
      <c r="J10" s="348"/>
      <c r="K10" s="23"/>
      <c r="L10" s="354"/>
      <c r="M10" s="355"/>
      <c r="N10" s="355"/>
      <c r="O10" s="355"/>
      <c r="P10" s="356"/>
      <c r="Q10" s="26"/>
      <c r="R10" s="23"/>
      <c r="S10" s="23"/>
    </row>
    <row r="11" spans="1:19" ht="14.25" customHeight="1" thickBot="1" x14ac:dyDescent="0.25">
      <c r="A11" s="23"/>
      <c r="B11" s="171" t="s">
        <v>255</v>
      </c>
      <c r="C11" s="485" t="s">
        <v>254</v>
      </c>
      <c r="D11" s="23"/>
      <c r="E11" s="242" t="s">
        <v>141</v>
      </c>
      <c r="F11" s="314"/>
      <c r="G11" s="314"/>
      <c r="H11" s="314"/>
      <c r="I11" s="314"/>
      <c r="J11" s="348"/>
      <c r="K11" s="23"/>
      <c r="L11" s="450" t="s">
        <v>231</v>
      </c>
      <c r="M11" s="451"/>
      <c r="N11" s="451"/>
      <c r="O11" s="333"/>
      <c r="P11" s="357">
        <f>SUM(P5,P9)</f>
        <v>0</v>
      </c>
      <c r="Q11" s="26"/>
      <c r="R11" s="23"/>
      <c r="S11" s="23"/>
    </row>
    <row r="12" spans="1:19" ht="14.25" customHeight="1" x14ac:dyDescent="0.2">
      <c r="A12" s="23"/>
      <c r="B12" s="171" t="s">
        <v>196</v>
      </c>
      <c r="C12" s="169" t="s">
        <v>65</v>
      </c>
      <c r="D12" s="23"/>
      <c r="E12" s="242" t="s">
        <v>141</v>
      </c>
      <c r="F12" s="463"/>
      <c r="G12" s="463"/>
      <c r="H12" s="463"/>
      <c r="I12" s="463"/>
      <c r="J12" s="348"/>
      <c r="K12" s="23"/>
      <c r="L12" s="23"/>
      <c r="M12" s="23"/>
      <c r="N12" s="23"/>
      <c r="O12" s="23"/>
      <c r="P12" s="23"/>
      <c r="Q12" s="26"/>
      <c r="R12" s="23"/>
      <c r="S12" s="23"/>
    </row>
    <row r="13" spans="1:19" ht="14.25" customHeight="1" x14ac:dyDescent="0.2">
      <c r="A13" s="23"/>
      <c r="B13" s="171" t="s">
        <v>223</v>
      </c>
      <c r="C13" s="169"/>
      <c r="D13" s="23"/>
      <c r="E13" s="242" t="s">
        <v>141</v>
      </c>
      <c r="F13" s="463"/>
      <c r="G13" s="463"/>
      <c r="H13" s="463"/>
      <c r="I13" s="463"/>
      <c r="J13" s="348"/>
      <c r="K13" s="23"/>
      <c r="L13" s="26"/>
      <c r="M13" s="26"/>
      <c r="N13" s="26"/>
      <c r="O13" s="26"/>
      <c r="P13" s="26"/>
      <c r="Q13" s="23"/>
      <c r="R13" s="23"/>
      <c r="S13" s="23"/>
    </row>
    <row r="14" spans="1:19" ht="14.25" customHeight="1" x14ac:dyDescent="0.2">
      <c r="A14" s="23"/>
      <c r="B14" s="171" t="s">
        <v>259</v>
      </c>
      <c r="C14" s="169">
        <v>0</v>
      </c>
      <c r="D14" s="23"/>
      <c r="E14" s="242" t="s">
        <v>141</v>
      </c>
      <c r="F14" s="315"/>
      <c r="G14" s="315"/>
      <c r="H14" s="315"/>
      <c r="I14" s="315"/>
      <c r="J14" s="348"/>
      <c r="K14" s="23"/>
      <c r="L14" s="26"/>
      <c r="M14" s="26"/>
      <c r="N14" s="26"/>
      <c r="O14" s="26"/>
      <c r="P14" s="26"/>
      <c r="Q14" s="23"/>
      <c r="R14" s="23"/>
      <c r="S14" s="23"/>
    </row>
    <row r="15" spans="1:19" ht="14.25" customHeight="1" x14ac:dyDescent="0.2">
      <c r="A15" s="23"/>
      <c r="B15" s="171" t="s">
        <v>264</v>
      </c>
      <c r="C15" s="322">
        <v>0</v>
      </c>
      <c r="D15" s="23"/>
      <c r="E15" s="242" t="s">
        <v>141</v>
      </c>
      <c r="F15" s="321"/>
      <c r="G15" s="321"/>
      <c r="H15" s="321"/>
      <c r="I15" s="321"/>
      <c r="J15" s="349"/>
      <c r="K15" s="23"/>
      <c r="L15" s="26"/>
      <c r="M15" s="26"/>
      <c r="N15" s="26"/>
      <c r="O15" s="26"/>
      <c r="P15" s="26"/>
      <c r="Q15" s="23"/>
      <c r="R15" s="23"/>
      <c r="S15" s="23"/>
    </row>
    <row r="16" spans="1:19" ht="14.25" customHeight="1" thickBot="1" x14ac:dyDescent="0.25">
      <c r="A16" s="23"/>
      <c r="B16" s="172" t="s">
        <v>207</v>
      </c>
      <c r="C16" s="173" t="s">
        <v>40</v>
      </c>
      <c r="D16" s="23"/>
      <c r="E16" s="464"/>
      <c r="F16" s="465"/>
      <c r="G16" s="332"/>
      <c r="H16" s="332"/>
      <c r="I16" s="333" t="s">
        <v>200</v>
      </c>
      <c r="J16" s="334">
        <f>SUM(J3:J13)</f>
        <v>0</v>
      </c>
      <c r="K16" s="23"/>
      <c r="L16" s="23"/>
      <c r="M16" s="23"/>
      <c r="N16" s="23"/>
      <c r="O16" s="23"/>
      <c r="P16" s="23"/>
      <c r="Q16" s="23"/>
      <c r="R16" s="23"/>
      <c r="S16" s="23"/>
    </row>
    <row r="17" spans="1:19" ht="14.25" customHeight="1" x14ac:dyDescent="0.2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466" t="s">
        <v>224</v>
      </c>
      <c r="N17" s="467"/>
      <c r="O17" s="467"/>
      <c r="P17" s="467"/>
      <c r="Q17" s="468"/>
      <c r="R17" s="23"/>
    </row>
    <row r="18" spans="1:19" ht="14.25" customHeight="1" x14ac:dyDescent="0.25">
      <c r="A18" s="23"/>
      <c r="B18" s="196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177" t="s">
        <v>212</v>
      </c>
      <c r="N18" s="178" t="s">
        <v>212</v>
      </c>
      <c r="O18" s="178" t="s">
        <v>212</v>
      </c>
      <c r="P18" s="178" t="s">
        <v>212</v>
      </c>
      <c r="Q18" s="179" t="s">
        <v>212</v>
      </c>
      <c r="R18" s="23"/>
    </row>
    <row r="19" spans="1:19" ht="14.25" customHeight="1" x14ac:dyDescent="0.25">
      <c r="A19" s="23"/>
      <c r="B19" s="196" t="s">
        <v>227</v>
      </c>
      <c r="C19" s="454" t="s">
        <v>235</v>
      </c>
      <c r="D19" s="455"/>
      <c r="E19" s="455"/>
      <c r="F19" s="455"/>
      <c r="G19" s="456"/>
      <c r="H19" s="454" t="s">
        <v>236</v>
      </c>
      <c r="I19" s="455"/>
      <c r="J19" s="455"/>
      <c r="K19" s="455"/>
      <c r="L19" s="456"/>
      <c r="M19" s="327">
        <v>0</v>
      </c>
      <c r="N19" s="328">
        <v>0</v>
      </c>
      <c r="O19" s="328">
        <v>0</v>
      </c>
      <c r="P19" s="328">
        <v>0</v>
      </c>
      <c r="Q19" s="329">
        <v>0</v>
      </c>
      <c r="R19" s="23"/>
    </row>
    <row r="20" spans="1:19" ht="45" x14ac:dyDescent="0.2">
      <c r="A20" s="23"/>
      <c r="B20" s="204" t="s">
        <v>155</v>
      </c>
      <c r="C20" s="175" t="s">
        <v>189</v>
      </c>
      <c r="D20" s="175" t="s">
        <v>190</v>
      </c>
      <c r="E20" s="175" t="s">
        <v>203</v>
      </c>
      <c r="F20" s="175" t="s">
        <v>202</v>
      </c>
      <c r="G20" s="205" t="s">
        <v>192</v>
      </c>
      <c r="H20" s="175" t="s">
        <v>189</v>
      </c>
      <c r="I20" s="175" t="s">
        <v>190</v>
      </c>
      <c r="J20" s="175" t="s">
        <v>191</v>
      </c>
      <c r="K20" s="175" t="s">
        <v>202</v>
      </c>
      <c r="L20" s="205" t="s">
        <v>192</v>
      </c>
      <c r="M20" s="330" t="s">
        <v>189</v>
      </c>
      <c r="N20" s="330" t="s">
        <v>190</v>
      </c>
      <c r="O20" s="330" t="s">
        <v>191</v>
      </c>
      <c r="P20" s="330" t="s">
        <v>202</v>
      </c>
      <c r="Q20" s="331" t="s">
        <v>186</v>
      </c>
      <c r="R20" s="23"/>
    </row>
    <row r="21" spans="1:19" ht="14.25" customHeight="1" x14ac:dyDescent="0.3">
      <c r="A21" s="23"/>
      <c r="B21" s="165" t="s">
        <v>204</v>
      </c>
      <c r="C21" s="180"/>
      <c r="D21" s="180"/>
      <c r="E21" s="297"/>
      <c r="F21" s="297"/>
      <c r="G21" s="298"/>
      <c r="H21" s="180"/>
      <c r="I21" s="180"/>
      <c r="J21" s="297"/>
      <c r="K21" s="297"/>
      <c r="L21" s="298"/>
      <c r="M21" s="180"/>
      <c r="N21" s="326"/>
      <c r="O21" s="297"/>
      <c r="P21" s="297"/>
      <c r="Q21" s="298"/>
      <c r="R21" s="23"/>
    </row>
    <row r="22" spans="1:19" ht="14.25" customHeight="1" x14ac:dyDescent="0.3">
      <c r="A22" s="23"/>
      <c r="B22" s="165" t="s">
        <v>205</v>
      </c>
      <c r="C22" s="180"/>
      <c r="D22" s="180"/>
      <c r="E22" s="297"/>
      <c r="F22" s="297"/>
      <c r="G22" s="298"/>
      <c r="H22" s="180"/>
      <c r="I22" s="180"/>
      <c r="J22" s="297"/>
      <c r="K22" s="297"/>
      <c r="L22" s="298"/>
      <c r="M22" s="180"/>
      <c r="N22" s="180"/>
      <c r="O22" s="297"/>
      <c r="P22" s="297"/>
      <c r="Q22" s="298"/>
      <c r="R22" s="23"/>
    </row>
    <row r="23" spans="1:19" ht="14.25" customHeight="1" x14ac:dyDescent="0.3">
      <c r="A23" s="23"/>
      <c r="B23" s="165" t="s">
        <v>156</v>
      </c>
      <c r="C23" s="297"/>
      <c r="D23" s="297"/>
      <c r="E23" s="180"/>
      <c r="F23" s="297"/>
      <c r="G23" s="298"/>
      <c r="H23" s="297"/>
      <c r="I23" s="297"/>
      <c r="J23" s="180"/>
      <c r="K23" s="297"/>
      <c r="L23" s="298"/>
      <c r="M23" s="297"/>
      <c r="N23" s="297"/>
      <c r="O23" s="180"/>
      <c r="P23" s="297"/>
      <c r="Q23" s="298"/>
      <c r="R23" s="23"/>
    </row>
    <row r="24" spans="1:19" ht="14.25" customHeight="1" x14ac:dyDescent="0.3">
      <c r="A24" s="23"/>
      <c r="B24" s="165" t="s">
        <v>185</v>
      </c>
      <c r="C24" s="297"/>
      <c r="D24" s="297"/>
      <c r="E24" s="297"/>
      <c r="F24" s="180"/>
      <c r="G24" s="298"/>
      <c r="H24" s="297"/>
      <c r="I24" s="297"/>
      <c r="J24" s="297"/>
      <c r="K24" s="180"/>
      <c r="L24" s="298"/>
      <c r="M24" s="297"/>
      <c r="N24" s="297"/>
      <c r="O24" s="297"/>
      <c r="P24" s="180"/>
      <c r="Q24" s="298"/>
      <c r="R24" s="23"/>
    </row>
    <row r="25" spans="1:19" ht="14.25" customHeight="1" x14ac:dyDescent="0.3">
      <c r="A25" s="23"/>
      <c r="B25" s="165" t="s">
        <v>186</v>
      </c>
      <c r="C25" s="297"/>
      <c r="D25" s="297"/>
      <c r="E25" s="297"/>
      <c r="F25" s="297"/>
      <c r="G25" s="181"/>
      <c r="H25" s="297"/>
      <c r="I25" s="297"/>
      <c r="J25" s="297"/>
      <c r="K25" s="297"/>
      <c r="L25" s="181"/>
      <c r="M25" s="297"/>
      <c r="N25" s="297"/>
      <c r="O25" s="297"/>
      <c r="P25" s="297"/>
      <c r="Q25" s="181"/>
      <c r="R25" s="23"/>
    </row>
    <row r="26" spans="1:19" s="167" customFormat="1" ht="14.25" customHeight="1" x14ac:dyDescent="0.3">
      <c r="A26" s="203"/>
      <c r="B26" s="215" t="s">
        <v>123</v>
      </c>
      <c r="C26" s="244">
        <f t="shared" ref="C26:L26" si="0">SUM(C21:C25)</f>
        <v>0</v>
      </c>
      <c r="D26" s="244">
        <f t="shared" si="0"/>
        <v>0</v>
      </c>
      <c r="E26" s="244">
        <f t="shared" si="0"/>
        <v>0</v>
      </c>
      <c r="F26" s="244">
        <f t="shared" si="0"/>
        <v>0</v>
      </c>
      <c r="G26" s="245">
        <f t="shared" si="0"/>
        <v>0</v>
      </c>
      <c r="H26" s="244">
        <f t="shared" si="0"/>
        <v>0</v>
      </c>
      <c r="I26" s="244">
        <f t="shared" si="0"/>
        <v>0</v>
      </c>
      <c r="J26" s="244">
        <f t="shared" si="0"/>
        <v>0</v>
      </c>
      <c r="K26" s="244">
        <f t="shared" si="0"/>
        <v>0</v>
      </c>
      <c r="L26" s="245">
        <f t="shared" si="0"/>
        <v>0</v>
      </c>
      <c r="M26" s="192">
        <f>M21+M22</f>
        <v>0</v>
      </c>
      <c r="N26" s="192">
        <f>N21+N22</f>
        <v>0</v>
      </c>
      <c r="O26" s="192">
        <f>O23</f>
        <v>0</v>
      </c>
      <c r="P26" s="192">
        <f>P24</f>
        <v>0</v>
      </c>
      <c r="Q26" s="193">
        <f>Q25</f>
        <v>0</v>
      </c>
      <c r="R26" s="23"/>
    </row>
    <row r="27" spans="1:19" ht="14.25" customHeight="1" thickBot="1" x14ac:dyDescent="0.35">
      <c r="A27" s="23"/>
      <c r="B27" s="166"/>
      <c r="C27" s="457" t="s">
        <v>198</v>
      </c>
      <c r="D27" s="457"/>
      <c r="E27" s="457"/>
      <c r="F27" s="457"/>
      <c r="G27" s="246">
        <f>SUM(C26:G26)</f>
        <v>0</v>
      </c>
      <c r="H27" s="457" t="s">
        <v>199</v>
      </c>
      <c r="I27" s="457"/>
      <c r="J27" s="457"/>
      <c r="K27" s="457"/>
      <c r="L27" s="246">
        <f>SUM(H26:L26)</f>
        <v>0</v>
      </c>
      <c r="M27" s="469" t="s">
        <v>182</v>
      </c>
      <c r="N27" s="470"/>
      <c r="O27" s="470"/>
      <c r="P27" s="470"/>
      <c r="Q27" s="194">
        <f>SUM(M26:Q26)</f>
        <v>0</v>
      </c>
      <c r="R27" s="23"/>
    </row>
    <row r="28" spans="1:19" ht="14.25" customHeight="1" thickTop="1" x14ac:dyDescent="0.2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</row>
    <row r="29" spans="1:19" ht="14.25" customHeight="1" x14ac:dyDescent="0.25">
      <c r="A29" s="23"/>
      <c r="B29" s="196" t="s">
        <v>226</v>
      </c>
      <c r="C29" s="454" t="s">
        <v>244</v>
      </c>
      <c r="D29" s="455"/>
      <c r="E29" s="455"/>
      <c r="F29" s="455"/>
      <c r="G29" s="456"/>
      <c r="H29" s="454" t="s">
        <v>240</v>
      </c>
      <c r="I29" s="455"/>
      <c r="J29" s="455"/>
      <c r="K29" s="455"/>
      <c r="L29" s="456"/>
      <c r="M29" s="454" t="s">
        <v>242</v>
      </c>
      <c r="N29" s="455"/>
      <c r="O29" s="455"/>
      <c r="P29" s="455"/>
      <c r="Q29" s="456"/>
      <c r="R29" s="23"/>
    </row>
    <row r="30" spans="1:19" ht="45" x14ac:dyDescent="0.2">
      <c r="A30" s="23"/>
      <c r="B30" s="204" t="s">
        <v>155</v>
      </c>
      <c r="C30" s="175" t="s">
        <v>189</v>
      </c>
      <c r="D30" s="175" t="s">
        <v>190</v>
      </c>
      <c r="E30" s="175" t="s">
        <v>191</v>
      </c>
      <c r="F30" s="175" t="s">
        <v>202</v>
      </c>
      <c r="G30" s="205" t="s">
        <v>186</v>
      </c>
      <c r="H30" s="175" t="s">
        <v>189</v>
      </c>
      <c r="I30" s="175" t="s">
        <v>190</v>
      </c>
      <c r="J30" s="175" t="s">
        <v>191</v>
      </c>
      <c r="K30" s="175" t="s">
        <v>202</v>
      </c>
      <c r="L30" s="205" t="s">
        <v>186</v>
      </c>
      <c r="M30" s="175" t="s">
        <v>189</v>
      </c>
      <c r="N30" s="175" t="s">
        <v>190</v>
      </c>
      <c r="O30" s="175" t="s">
        <v>191</v>
      </c>
      <c r="P30" s="175" t="s">
        <v>202</v>
      </c>
      <c r="Q30" s="205" t="s">
        <v>186</v>
      </c>
      <c r="R30" s="23"/>
    </row>
    <row r="31" spans="1:19" ht="14.25" customHeight="1" x14ac:dyDescent="0.3">
      <c r="A31" s="23"/>
      <c r="B31" s="165" t="s">
        <v>204</v>
      </c>
      <c r="C31" s="180"/>
      <c r="D31" s="180"/>
      <c r="E31" s="297"/>
      <c r="F31" s="297"/>
      <c r="G31" s="298"/>
      <c r="H31" s="296">
        <f>IFERROR((H21/$C$62),0)</f>
        <v>0</v>
      </c>
      <c r="I31" s="296">
        <f>IFERROR((I21/$C$62),0)</f>
        <v>0</v>
      </c>
      <c r="J31" s="297"/>
      <c r="K31" s="297"/>
      <c r="L31" s="298"/>
      <c r="M31" s="296">
        <f>(M21*M$19)/60</f>
        <v>0</v>
      </c>
      <c r="N31" s="296">
        <f>(N21*N$19)/60</f>
        <v>0</v>
      </c>
      <c r="O31" s="297"/>
      <c r="P31" s="297"/>
      <c r="Q31" s="298"/>
      <c r="R31" s="23"/>
    </row>
    <row r="32" spans="1:19" ht="14.25" customHeight="1" x14ac:dyDescent="0.3">
      <c r="A32" s="23"/>
      <c r="B32" s="165" t="s">
        <v>205</v>
      </c>
      <c r="C32" s="180"/>
      <c r="D32" s="180"/>
      <c r="E32" s="297"/>
      <c r="F32" s="297"/>
      <c r="G32" s="298"/>
      <c r="H32" s="296">
        <f>IFERROR((H22/$C$62),0)</f>
        <v>0</v>
      </c>
      <c r="I32" s="296">
        <f>IFERROR((I22/$C$62),0)</f>
        <v>0</v>
      </c>
      <c r="J32" s="297"/>
      <c r="K32" s="297"/>
      <c r="L32" s="298"/>
      <c r="M32" s="296">
        <f>(M22*M$19)/60</f>
        <v>0</v>
      </c>
      <c r="N32" s="296">
        <f>(N22*N$19)/60</f>
        <v>0</v>
      </c>
      <c r="O32" s="297"/>
      <c r="P32" s="297"/>
      <c r="Q32" s="298"/>
      <c r="R32" s="23"/>
    </row>
    <row r="33" spans="1:19" ht="14.25" customHeight="1" x14ac:dyDescent="0.3">
      <c r="A33" s="23"/>
      <c r="B33" s="165" t="s">
        <v>156</v>
      </c>
      <c r="C33" s="297"/>
      <c r="D33" s="297"/>
      <c r="E33" s="180"/>
      <c r="F33" s="297"/>
      <c r="G33" s="298"/>
      <c r="H33" s="297"/>
      <c r="I33" s="297"/>
      <c r="J33" s="296">
        <f>IFERROR((J23/$C$62),0)</f>
        <v>0</v>
      </c>
      <c r="K33" s="297"/>
      <c r="L33" s="298"/>
      <c r="M33" s="297"/>
      <c r="N33" s="297"/>
      <c r="O33" s="296">
        <f>(O23*O$19)/60</f>
        <v>0</v>
      </c>
      <c r="P33" s="297"/>
      <c r="Q33" s="298"/>
      <c r="R33" s="23"/>
    </row>
    <row r="34" spans="1:19" ht="14.25" customHeight="1" x14ac:dyDescent="0.3">
      <c r="A34" s="23"/>
      <c r="B34" s="165" t="s">
        <v>185</v>
      </c>
      <c r="C34" s="297"/>
      <c r="D34" s="297"/>
      <c r="E34" s="297"/>
      <c r="F34" s="180"/>
      <c r="G34" s="298"/>
      <c r="H34" s="297"/>
      <c r="I34" s="297"/>
      <c r="J34" s="297"/>
      <c r="K34" s="296">
        <f>IFERROR((K24/$C$62),0)</f>
        <v>0</v>
      </c>
      <c r="L34" s="298"/>
      <c r="M34" s="297"/>
      <c r="N34" s="297"/>
      <c r="O34" s="297"/>
      <c r="P34" s="296">
        <f>(P24*P$19)/60</f>
        <v>0</v>
      </c>
      <c r="Q34" s="298"/>
      <c r="R34" s="23"/>
    </row>
    <row r="35" spans="1:19" ht="14.25" customHeight="1" x14ac:dyDescent="0.3">
      <c r="A35" s="23"/>
      <c r="B35" s="165" t="s">
        <v>186</v>
      </c>
      <c r="C35" s="297"/>
      <c r="D35" s="297"/>
      <c r="E35" s="297"/>
      <c r="F35" s="297"/>
      <c r="G35" s="181"/>
      <c r="H35" s="297"/>
      <c r="I35" s="297"/>
      <c r="J35" s="297"/>
      <c r="K35" s="297"/>
      <c r="L35" s="299">
        <f>IFERROR((L25/$C$62),0)</f>
        <v>0</v>
      </c>
      <c r="M35" s="297"/>
      <c r="N35" s="297"/>
      <c r="O35" s="297"/>
      <c r="P35" s="297"/>
      <c r="Q35" s="296">
        <f>(Q25*Q$19)/60</f>
        <v>0</v>
      </c>
      <c r="R35" s="23"/>
    </row>
    <row r="36" spans="1:19" ht="14.25" customHeight="1" x14ac:dyDescent="0.3">
      <c r="A36" s="23"/>
      <c r="B36" s="215" t="s">
        <v>123</v>
      </c>
      <c r="C36" s="244">
        <f>C31+C32</f>
        <v>0</v>
      </c>
      <c r="D36" s="244">
        <f>D31+D32</f>
        <v>0</v>
      </c>
      <c r="E36" s="244">
        <f>E33</f>
        <v>0</v>
      </c>
      <c r="F36" s="244">
        <f>F34</f>
        <v>0</v>
      </c>
      <c r="G36" s="245">
        <f>G35</f>
        <v>0</v>
      </c>
      <c r="H36" s="244">
        <f>H31+H32</f>
        <v>0</v>
      </c>
      <c r="I36" s="244">
        <f>I31+I32</f>
        <v>0</v>
      </c>
      <c r="J36" s="244">
        <f>J33</f>
        <v>0</v>
      </c>
      <c r="K36" s="244">
        <f>K34</f>
        <v>0</v>
      </c>
      <c r="L36" s="245">
        <f>L35</f>
        <v>0</v>
      </c>
      <c r="M36" s="244">
        <f>M31+M32</f>
        <v>0</v>
      </c>
      <c r="N36" s="244">
        <f>N31+N32</f>
        <v>0</v>
      </c>
      <c r="O36" s="244">
        <f>O33</f>
        <v>0</v>
      </c>
      <c r="P36" s="244">
        <f>P34</f>
        <v>0</v>
      </c>
      <c r="Q36" s="245">
        <f>Q35</f>
        <v>0</v>
      </c>
      <c r="R36" s="23"/>
    </row>
    <row r="37" spans="1:19" ht="14.25" customHeight="1" thickBot="1" x14ac:dyDescent="0.35">
      <c r="A37" s="23"/>
      <c r="B37" s="166"/>
      <c r="C37" s="457" t="s">
        <v>245</v>
      </c>
      <c r="D37" s="457"/>
      <c r="E37" s="457"/>
      <c r="F37" s="457"/>
      <c r="G37" s="292">
        <f>SUM(C36:G36)</f>
        <v>0</v>
      </c>
      <c r="H37" s="457" t="s">
        <v>241</v>
      </c>
      <c r="I37" s="457"/>
      <c r="J37" s="457"/>
      <c r="K37" s="457"/>
      <c r="L37" s="292">
        <f>SUM(H36:L36)</f>
        <v>0</v>
      </c>
      <c r="M37" s="457" t="s">
        <v>243</v>
      </c>
      <c r="N37" s="457"/>
      <c r="O37" s="457"/>
      <c r="P37" s="457"/>
      <c r="Q37" s="292">
        <f>SUM(M36:Q36)</f>
        <v>0</v>
      </c>
      <c r="R37" s="23"/>
    </row>
    <row r="38" spans="1:19" ht="14.25" customHeight="1" thickTop="1" x14ac:dyDescent="0.3">
      <c r="A38" s="23"/>
      <c r="B38" s="166"/>
      <c r="C38" s="166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</row>
    <row r="39" spans="1:19" ht="14.25" customHeight="1" thickBot="1" x14ac:dyDescent="0.35">
      <c r="A39" s="23"/>
      <c r="B39" s="166"/>
      <c r="C39" s="166"/>
      <c r="D39" s="23"/>
      <c r="E39" s="23"/>
      <c r="F39" s="23"/>
      <c r="G39" s="290"/>
      <c r="H39" s="455" t="s">
        <v>225</v>
      </c>
      <c r="I39" s="455"/>
      <c r="J39" s="455"/>
      <c r="K39" s="455"/>
      <c r="L39" s="456"/>
      <c r="M39" s="23"/>
      <c r="N39" s="23"/>
      <c r="O39" s="23"/>
      <c r="P39" s="23"/>
      <c r="Q39" s="23"/>
      <c r="R39" s="23"/>
      <c r="S39" s="23"/>
    </row>
    <row r="40" spans="1:19" ht="30.75" customHeight="1" x14ac:dyDescent="0.25">
      <c r="A40" s="23"/>
      <c r="B40" s="107" t="s">
        <v>165</v>
      </c>
      <c r="C40" s="184"/>
      <c r="D40" s="185"/>
      <c r="E40" s="23"/>
      <c r="F40" s="204" t="s">
        <v>155</v>
      </c>
      <c r="G40" s="294"/>
      <c r="H40" s="175" t="s">
        <v>189</v>
      </c>
      <c r="I40" s="175" t="s">
        <v>190</v>
      </c>
      <c r="J40" s="175" t="s">
        <v>191</v>
      </c>
      <c r="K40" s="175" t="s">
        <v>202</v>
      </c>
      <c r="L40" s="205" t="s">
        <v>186</v>
      </c>
      <c r="M40" s="23"/>
      <c r="N40" s="471" t="s">
        <v>237</v>
      </c>
      <c r="O40" s="472"/>
      <c r="P40" s="473"/>
      <c r="Q40" s="23"/>
      <c r="R40" s="23"/>
      <c r="S40" s="23"/>
    </row>
    <row r="41" spans="1:19" ht="14.25" customHeight="1" x14ac:dyDescent="0.3">
      <c r="A41" s="23"/>
      <c r="B41" s="102"/>
      <c r="C41" s="186" t="s">
        <v>139</v>
      </c>
      <c r="D41" s="187" t="s">
        <v>157</v>
      </c>
      <c r="E41" s="23"/>
      <c r="F41" s="165" t="s">
        <v>204</v>
      </c>
      <c r="G41" s="293"/>
      <c r="H41" s="180"/>
      <c r="I41" s="180"/>
      <c r="J41" s="297"/>
      <c r="K41" s="297"/>
      <c r="L41" s="298"/>
      <c r="M41" s="23"/>
      <c r="N41" s="237" t="s">
        <v>204</v>
      </c>
      <c r="O41" s="219"/>
      <c r="P41" s="238">
        <v>190</v>
      </c>
      <c r="Q41" s="23"/>
      <c r="R41" s="23"/>
      <c r="S41" s="23"/>
    </row>
    <row r="42" spans="1:19" ht="14.25" customHeight="1" x14ac:dyDescent="0.3">
      <c r="A42" s="23"/>
      <c r="B42" s="108" t="s">
        <v>158</v>
      </c>
      <c r="C42" s="188"/>
      <c r="D42" s="189"/>
      <c r="E42" s="23"/>
      <c r="F42" s="165" t="s">
        <v>205</v>
      </c>
      <c r="G42" s="293"/>
      <c r="H42" s="180"/>
      <c r="I42" s="180"/>
      <c r="J42" s="297"/>
      <c r="K42" s="297"/>
      <c r="L42" s="298"/>
      <c r="M42" s="23"/>
      <c r="N42" s="237" t="s">
        <v>205</v>
      </c>
      <c r="O42" s="219"/>
      <c r="P42" s="238">
        <v>60</v>
      </c>
      <c r="Q42" s="23"/>
      <c r="R42" s="23"/>
      <c r="S42" s="23"/>
    </row>
    <row r="43" spans="1:19" ht="14.25" customHeight="1" x14ac:dyDescent="0.3">
      <c r="A43" s="23"/>
      <c r="B43" s="102" t="s">
        <v>159</v>
      </c>
      <c r="C43" s="155">
        <f>IF(C5="Please Select",0,(((C58+'GA Rates &amp; Allowances'!G2)*C5)+((C59+'GA Rates &amp; Allowances'!G2)*C13))+C14*'GA Rates &amp; Allowances'!G2)</f>
        <v>0</v>
      </c>
      <c r="D43" s="156">
        <f t="shared" ref="D43:D55" si="1">C43*1.1</f>
        <v>0</v>
      </c>
      <c r="E43" s="23"/>
      <c r="F43" s="165" t="s">
        <v>156</v>
      </c>
      <c r="G43" s="293"/>
      <c r="H43" s="297"/>
      <c r="I43" s="297"/>
      <c r="J43" s="180"/>
      <c r="K43" s="297"/>
      <c r="L43" s="298"/>
      <c r="M43" s="23"/>
      <c r="N43" s="237" t="s">
        <v>156</v>
      </c>
      <c r="O43" s="219"/>
      <c r="P43" s="238">
        <v>52</v>
      </c>
      <c r="Q43" s="23"/>
      <c r="R43" s="23"/>
      <c r="S43" s="23"/>
    </row>
    <row r="44" spans="1:19" ht="14.25" customHeight="1" x14ac:dyDescent="0.3">
      <c r="A44" s="23"/>
      <c r="B44" s="324" t="s">
        <v>266</v>
      </c>
      <c r="C44" s="155">
        <f>IFERROR(H75,0)</f>
        <v>0</v>
      </c>
      <c r="D44" s="156">
        <f t="shared" si="1"/>
        <v>0</v>
      </c>
      <c r="E44" s="23"/>
      <c r="F44" s="165" t="s">
        <v>185</v>
      </c>
      <c r="G44" s="293"/>
      <c r="H44" s="297"/>
      <c r="I44" s="297"/>
      <c r="J44" s="297"/>
      <c r="K44" s="180"/>
      <c r="L44" s="298"/>
      <c r="M44" s="23"/>
      <c r="N44" s="237" t="s">
        <v>185</v>
      </c>
      <c r="O44" s="219"/>
      <c r="P44" s="238">
        <v>52</v>
      </c>
      <c r="Q44" s="23"/>
      <c r="R44" s="23"/>
      <c r="S44" s="23"/>
    </row>
    <row r="45" spans="1:19" ht="14.25" customHeight="1" x14ac:dyDescent="0.3">
      <c r="A45" s="23"/>
      <c r="B45" s="102" t="s">
        <v>160</v>
      </c>
      <c r="C45" s="155">
        <f>IF(C16="NO",Q27*'GA Rates &amp; Allowances'!C115,0)</f>
        <v>0</v>
      </c>
      <c r="D45" s="156">
        <f t="shared" si="1"/>
        <v>0</v>
      </c>
      <c r="E45" s="23"/>
      <c r="F45" s="165" t="s">
        <v>186</v>
      </c>
      <c r="G45" s="293"/>
      <c r="H45" s="297"/>
      <c r="I45" s="297"/>
      <c r="J45" s="297"/>
      <c r="K45" s="297"/>
      <c r="L45" s="181"/>
      <c r="M45" s="23"/>
      <c r="N45" s="237" t="s">
        <v>186</v>
      </c>
      <c r="O45" s="219"/>
      <c r="P45" s="238">
        <v>11</v>
      </c>
      <c r="Q45" s="23"/>
      <c r="R45" s="23"/>
      <c r="S45" s="23"/>
    </row>
    <row r="46" spans="1:19" ht="14.25" customHeight="1" thickBot="1" x14ac:dyDescent="0.35">
      <c r="A46" s="23"/>
      <c r="B46" s="102" t="s">
        <v>261</v>
      </c>
      <c r="C46" s="155">
        <f ca="1">IFERROR(SUM(G27,L27)*('GA Rates &amp; Allowances'!B103+'GA Rates &amp; Allowances'!B109),0)</f>
        <v>0</v>
      </c>
      <c r="D46" s="156">
        <f t="shared" ca="1" si="1"/>
        <v>0</v>
      </c>
      <c r="E46" s="23"/>
      <c r="F46" s="215" t="s">
        <v>123</v>
      </c>
      <c r="G46" s="295"/>
      <c r="H46" s="244">
        <f>H41+H42</f>
        <v>0</v>
      </c>
      <c r="I46" s="244">
        <f>I41+I42</f>
        <v>0</v>
      </c>
      <c r="J46" s="244">
        <f>J43</f>
        <v>0</v>
      </c>
      <c r="K46" s="244">
        <f>K44</f>
        <v>0</v>
      </c>
      <c r="L46" s="245">
        <f>L45</f>
        <v>0</v>
      </c>
      <c r="M46" s="23"/>
      <c r="N46" s="239"/>
      <c r="O46" s="228"/>
      <c r="P46" s="240">
        <f>SUM(P41:P45)</f>
        <v>365</v>
      </c>
      <c r="Q46" s="23"/>
      <c r="R46" s="23"/>
      <c r="S46" s="23"/>
    </row>
    <row r="47" spans="1:19" ht="13.5" customHeight="1" thickBot="1" x14ac:dyDescent="0.35">
      <c r="A47" s="23"/>
      <c r="B47" s="232" t="s">
        <v>260</v>
      </c>
      <c r="C47" s="155">
        <f ca="1">IFERROR(SUM(G27,L27)*'GA Rates &amp; Allowances'!B111,0)</f>
        <v>0</v>
      </c>
      <c r="D47" s="156">
        <f t="shared" ca="1" si="1"/>
        <v>0</v>
      </c>
      <c r="E47" s="23"/>
      <c r="F47" s="103"/>
      <c r="G47" s="291"/>
      <c r="H47" s="457" t="s">
        <v>213</v>
      </c>
      <c r="I47" s="457"/>
      <c r="J47" s="457"/>
      <c r="K47" s="457"/>
      <c r="L47" s="292">
        <f>SUM(H46:L46)</f>
        <v>0</v>
      </c>
      <c r="M47" s="23"/>
      <c r="N47" s="23"/>
      <c r="O47" s="23"/>
      <c r="P47" s="23"/>
      <c r="Q47" s="23"/>
      <c r="R47" s="23"/>
      <c r="S47" s="23"/>
    </row>
    <row r="48" spans="1:19" ht="13.5" customHeight="1" thickTop="1" x14ac:dyDescent="0.2">
      <c r="A48" s="23"/>
      <c r="B48" s="232" t="s">
        <v>262</v>
      </c>
      <c r="C48" s="155">
        <f ca="1">(IFERROR(((SUM(E26:G26,J26:L26)/SUM(G27,L27))*(C46+C47)),0)+(IFERROR((SUM(O26:Q26)/Q27)*C45,0)))*WeekendPubHol_Loading</f>
        <v>0</v>
      </c>
      <c r="D48" s="156">
        <f ca="1">C48*1.1</f>
        <v>0</v>
      </c>
      <c r="E48" s="23"/>
      <c r="F48" s="103"/>
      <c r="G48" s="320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1:19" ht="13.5" customHeight="1" x14ac:dyDescent="0.2">
      <c r="A49" s="23"/>
      <c r="B49" s="232" t="s">
        <v>234</v>
      </c>
      <c r="C49" s="155">
        <f ca="1">SUM(C43:C48)*Operators_Margin</f>
        <v>0</v>
      </c>
      <c r="D49" s="156">
        <f ca="1">C49*1.1</f>
        <v>0</v>
      </c>
      <c r="E49" s="23"/>
      <c r="F49" s="103"/>
      <c r="G49" s="320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1:19" ht="14.25" customHeight="1" x14ac:dyDescent="0.2">
      <c r="A50" s="23"/>
      <c r="B50" s="109" t="s">
        <v>161</v>
      </c>
      <c r="C50" s="157">
        <f ca="1">SUM(C43:C49)</f>
        <v>0</v>
      </c>
      <c r="D50" s="162">
        <f t="shared" ca="1" si="1"/>
        <v>0</v>
      </c>
      <c r="E50" s="249"/>
      <c r="F50" s="103"/>
      <c r="G50" s="250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1:19" ht="14.25" customHeight="1" thickBot="1" x14ac:dyDescent="0.25">
      <c r="A51" s="23"/>
      <c r="B51" s="109" t="s">
        <v>232</v>
      </c>
      <c r="C51" s="157">
        <f>P11</f>
        <v>0</v>
      </c>
      <c r="D51" s="162">
        <f t="shared" si="1"/>
        <v>0</v>
      </c>
      <c r="E51" s="23"/>
      <c r="F51" s="247"/>
      <c r="G51" s="248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1:19" ht="14.25" customHeight="1" x14ac:dyDescent="0.2">
      <c r="A52" s="23"/>
      <c r="B52" s="109" t="s">
        <v>267</v>
      </c>
      <c r="C52" s="157">
        <f>J16+I75</f>
        <v>0</v>
      </c>
      <c r="D52" s="162">
        <f t="shared" si="1"/>
        <v>0</v>
      </c>
      <c r="E52" s="23"/>
      <c r="F52" s="452"/>
      <c r="G52" s="453"/>
      <c r="H52" s="226"/>
      <c r="I52" s="458" t="s">
        <v>257</v>
      </c>
      <c r="J52" s="458"/>
      <c r="K52" s="458"/>
      <c r="L52" s="458"/>
      <c r="M52" s="460"/>
      <c r="N52" s="23"/>
      <c r="O52" s="23"/>
      <c r="P52" s="23"/>
      <c r="Q52" s="23"/>
      <c r="R52" s="23"/>
      <c r="S52" s="23"/>
    </row>
    <row r="53" spans="1:19" ht="30" x14ac:dyDescent="0.3">
      <c r="A53" s="23"/>
      <c r="B53" s="232" t="s">
        <v>256</v>
      </c>
      <c r="C53" s="155">
        <f ca="1">SUM(C43:C46)*'GA Rates &amp; Allowances'!B4</f>
        <v>0</v>
      </c>
      <c r="D53" s="213">
        <f t="shared" ca="1" si="1"/>
        <v>0</v>
      </c>
      <c r="E53" s="23"/>
      <c r="F53" s="446" t="s">
        <v>155</v>
      </c>
      <c r="G53" s="447"/>
      <c r="H53" s="233" t="s">
        <v>214</v>
      </c>
      <c r="I53" s="214" t="s">
        <v>189</v>
      </c>
      <c r="J53" s="214" t="s">
        <v>190</v>
      </c>
      <c r="K53" s="214" t="s">
        <v>191</v>
      </c>
      <c r="L53" s="214" t="s">
        <v>202</v>
      </c>
      <c r="M53" s="317" t="s">
        <v>186</v>
      </c>
      <c r="N53" s="23"/>
      <c r="O53" s="23"/>
      <c r="P53" s="23"/>
      <c r="Q53" s="23"/>
      <c r="R53" s="23"/>
      <c r="S53" s="23"/>
    </row>
    <row r="54" spans="1:19" ht="14.25" customHeight="1" x14ac:dyDescent="0.3">
      <c r="A54" s="23"/>
      <c r="B54" s="109" t="s">
        <v>162</v>
      </c>
      <c r="C54" s="157" t="e">
        <f>#REF!+#REF!</f>
        <v>#REF!</v>
      </c>
      <c r="D54" s="162" t="e">
        <f t="shared" si="1"/>
        <v>#REF!</v>
      </c>
      <c r="E54" s="23"/>
      <c r="F54" s="446" t="s">
        <v>204</v>
      </c>
      <c r="G54" s="447"/>
      <c r="H54" s="234">
        <v>190</v>
      </c>
      <c r="I54" s="216">
        <f>IFERROR(((($H$21/$C$62)+$C$31+$H$41+(($M$21*$M$19)/60))*(1+PrePostInsp_Loading)),0)</f>
        <v>0</v>
      </c>
      <c r="J54" s="216">
        <f>IFERROR(((($I$21/$C$62)+$D$31+$I$41+(($N$21*$N$19)/60))*(1+PrePostInsp_Loading)),0)</f>
        <v>0</v>
      </c>
      <c r="K54" s="201"/>
      <c r="L54" s="201"/>
      <c r="M54" s="318"/>
      <c r="N54" s="23"/>
      <c r="O54" s="23"/>
      <c r="P54" s="23"/>
      <c r="Q54" s="23"/>
      <c r="R54" s="23"/>
      <c r="S54" s="23"/>
    </row>
    <row r="55" spans="1:19" ht="14.25" customHeight="1" thickBot="1" x14ac:dyDescent="0.35">
      <c r="A55" s="23"/>
      <c r="B55" s="110" t="s">
        <v>164</v>
      </c>
      <c r="C55" s="158" t="e">
        <f ca="1">SUM(C50:C54)</f>
        <v>#REF!</v>
      </c>
      <c r="D55" s="230" t="e">
        <f t="shared" ca="1" si="1"/>
        <v>#REF!</v>
      </c>
      <c r="E55" s="23"/>
      <c r="F55" s="446" t="s">
        <v>205</v>
      </c>
      <c r="G55" s="447"/>
      <c r="H55" s="234">
        <v>60</v>
      </c>
      <c r="I55" s="216">
        <f>IFERROR(((($H$22/$C$62)+$C$32+$H$42+(($M$22*$M$19)/60))*(1+PrePostInsp_Loading)),0)</f>
        <v>0</v>
      </c>
      <c r="J55" s="216">
        <f>IFERROR(((($I$22/$C$62)+$D$32+$I$42+(($N$22*$N$19)/60))*(1+PrePostInsp_Loading)),0)</f>
        <v>0</v>
      </c>
      <c r="K55" s="201"/>
      <c r="L55" s="201"/>
      <c r="M55" s="318"/>
      <c r="N55" s="23"/>
      <c r="O55" s="23"/>
      <c r="P55" s="23"/>
      <c r="Q55" s="23"/>
      <c r="R55" s="23"/>
      <c r="S55" s="23"/>
    </row>
    <row r="56" spans="1:19" ht="14.25" customHeight="1" thickTop="1" thickBot="1" x14ac:dyDescent="0.35">
      <c r="A56" s="23"/>
      <c r="B56" s="105"/>
      <c r="C56" s="190"/>
      <c r="D56" s="191"/>
      <c r="E56" s="23"/>
      <c r="F56" s="446" t="s">
        <v>156</v>
      </c>
      <c r="G56" s="447"/>
      <c r="H56" s="234">
        <v>52</v>
      </c>
      <c r="I56" s="201"/>
      <c r="J56" s="201"/>
      <c r="K56" s="216">
        <f>IFERROR((($J$23/$C$62)+$E$33+$J$43+(($O$23*$O$19)/60))*(1+PrePostInsp_Loading)+((($J$23/$C$62)+$E$33+$J$43+(($O$23*$O$19)/60))*WeekendPubHol_Loading),0)</f>
        <v>0</v>
      </c>
      <c r="L56" s="201"/>
      <c r="M56" s="318"/>
      <c r="N56" s="23"/>
      <c r="O56" s="23"/>
      <c r="P56" s="23"/>
      <c r="Q56" s="23"/>
      <c r="R56" s="23"/>
      <c r="S56" s="23"/>
    </row>
    <row r="57" spans="1:19" ht="14.25" customHeight="1" thickBot="1" x14ac:dyDescent="0.35">
      <c r="A57" s="23"/>
      <c r="B57" s="103"/>
      <c r="C57" s="106"/>
      <c r="D57" s="106"/>
      <c r="E57" s="23"/>
      <c r="F57" s="446" t="s">
        <v>185</v>
      </c>
      <c r="G57" s="447"/>
      <c r="H57" s="234">
        <v>52</v>
      </c>
      <c r="I57" s="201"/>
      <c r="J57" s="201"/>
      <c r="K57" s="201"/>
      <c r="L57" s="216">
        <f>IFERROR((($K$24/$C$62)+$F$34+$K$44+(($P$24*$P$19)/60))*(1+PrePostInsp_Loading)+((($K$24/$C$62)+$F$34+$K$44+(($P$24*$P$19)/60))*WeekendPubHol_Loading),0)</f>
        <v>0</v>
      </c>
      <c r="M57" s="318"/>
      <c r="N57" s="23"/>
      <c r="O57" s="23"/>
      <c r="P57" s="23"/>
      <c r="Q57" s="23"/>
      <c r="R57" s="23"/>
      <c r="S57" s="23"/>
    </row>
    <row r="58" spans="1:19" ht="14.25" customHeight="1" x14ac:dyDescent="0.3">
      <c r="A58" s="23"/>
      <c r="B58" s="159" t="s">
        <v>153</v>
      </c>
      <c r="C58" s="163">
        <f>Bus_Fixed_Costs</f>
        <v>59411.892736000002</v>
      </c>
      <c r="D58" s="106"/>
      <c r="E58" s="23"/>
      <c r="F58" s="446" t="s">
        <v>186</v>
      </c>
      <c r="G58" s="447"/>
      <c r="H58" s="234">
        <v>11</v>
      </c>
      <c r="I58" s="235"/>
      <c r="J58" s="235"/>
      <c r="K58" s="235"/>
      <c r="L58" s="235"/>
      <c r="M58" s="319">
        <f>IFERROR((($L$25/$C$62)+$G$35+$L$45+(($Q$25*$Q$19)/60))*(1+PrePostInsp_Loading)+((($L$25/$C$62)+$G$35+$L$45+(($Q$25*$Q$19)/60))*WeekendPubHol_Loading),0)</f>
        <v>0</v>
      </c>
      <c r="N58" s="23"/>
      <c r="O58" s="23"/>
      <c r="P58" s="23"/>
      <c r="Q58" s="23"/>
      <c r="R58" s="23"/>
      <c r="S58" s="23"/>
    </row>
    <row r="59" spans="1:19" ht="14.25" customHeight="1" x14ac:dyDescent="0.3">
      <c r="A59" s="23"/>
      <c r="B59" s="160" t="s">
        <v>222</v>
      </c>
      <c r="C59" s="164">
        <f>IF($C$12="Base",0,'GA Rates &amp; Allowances'!C94)</f>
        <v>0</v>
      </c>
      <c r="D59" s="106"/>
      <c r="E59" s="23"/>
      <c r="F59" s="446" t="s">
        <v>123</v>
      </c>
      <c r="G59" s="447"/>
      <c r="H59" s="227">
        <f>SUM(H54:H58)</f>
        <v>365</v>
      </c>
      <c r="I59" s="316">
        <f>SUM(I54:I55)</f>
        <v>0</v>
      </c>
      <c r="J59" s="316">
        <f>SUM(J54:J55)</f>
        <v>0</v>
      </c>
      <c r="K59" s="316">
        <f>K56</f>
        <v>0</v>
      </c>
      <c r="L59" s="316">
        <f>L57</f>
        <v>0</v>
      </c>
      <c r="M59" s="217">
        <f>M58</f>
        <v>0</v>
      </c>
      <c r="N59" s="23"/>
      <c r="O59" s="23"/>
      <c r="P59" s="23"/>
      <c r="Q59" s="23"/>
      <c r="R59" s="23"/>
      <c r="S59" s="23"/>
    </row>
    <row r="60" spans="1:19" ht="14.25" customHeight="1" thickBot="1" x14ac:dyDescent="0.35">
      <c r="A60" s="23"/>
      <c r="B60" s="160" t="s">
        <v>151</v>
      </c>
      <c r="C60" s="164">
        <f ca="1">IFERROR(Vehicle_CostPerKM,0)</f>
        <v>0</v>
      </c>
      <c r="D60" s="106"/>
      <c r="E60" s="23"/>
      <c r="F60" s="448"/>
      <c r="G60" s="449"/>
      <c r="H60" s="209"/>
      <c r="I60" s="461" t="s">
        <v>197</v>
      </c>
      <c r="J60" s="462"/>
      <c r="K60" s="462"/>
      <c r="L60" s="462"/>
      <c r="M60" s="218">
        <f>SUM(I59:M59)</f>
        <v>0</v>
      </c>
      <c r="N60" s="23"/>
      <c r="O60" s="23"/>
      <c r="P60" s="23"/>
      <c r="Q60" s="23"/>
      <c r="R60" s="23"/>
      <c r="S60" s="23"/>
    </row>
    <row r="61" spans="1:19" ht="14.25" customHeight="1" x14ac:dyDescent="0.2">
      <c r="A61" s="23"/>
      <c r="B61" s="160" t="s">
        <v>152</v>
      </c>
      <c r="C61" s="164">
        <f>'GA Rates &amp; Allowances'!C115</f>
        <v>0.68</v>
      </c>
      <c r="D61" s="106"/>
      <c r="E61" s="23"/>
      <c r="F61" s="23" t="s">
        <v>258</v>
      </c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1:19" ht="14.25" customHeight="1" thickBot="1" x14ac:dyDescent="0.25">
      <c r="A62" s="23"/>
      <c r="B62" s="161" t="s">
        <v>248</v>
      </c>
      <c r="C62" s="174">
        <f>IFERROR(IF(C4="Urban",IF(G27/G37&lt;35,35,G27/G37),IF(C4="Mixed",50,IF(G27/G37&lt;60,60,G27/G37))),0)</f>
        <v>0</v>
      </c>
      <c r="D62" s="106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</row>
    <row r="63" spans="1:19" ht="14.25" customHeight="1" x14ac:dyDescent="0.2">
      <c r="A63" s="23"/>
      <c r="B63" s="103" t="s">
        <v>163</v>
      </c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</row>
    <row r="64" spans="1:19" ht="14.25" customHeight="1" x14ac:dyDescent="0.2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</row>
    <row r="65" spans="1:19" ht="14.25" customHeight="1" x14ac:dyDescent="0.2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</row>
    <row r="66" spans="1:19" ht="14.25" hidden="1" customHeight="1" thickBo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9" ht="14.25" hidden="1" customHeight="1" x14ac:dyDescent="0.2">
      <c r="B67" s="225"/>
      <c r="C67" s="226"/>
      <c r="D67" s="458" t="s">
        <v>211</v>
      </c>
      <c r="E67" s="458"/>
      <c r="F67" s="458"/>
      <c r="G67" s="458"/>
      <c r="H67" s="459"/>
    </row>
    <row r="68" spans="1:19" ht="30" hidden="1" x14ac:dyDescent="0.3">
      <c r="B68" s="223" t="s">
        <v>155</v>
      </c>
      <c r="C68" s="233" t="s">
        <v>214</v>
      </c>
      <c r="D68" s="214" t="s">
        <v>189</v>
      </c>
      <c r="E68" s="214" t="s">
        <v>190</v>
      </c>
      <c r="F68" s="214" t="s">
        <v>191</v>
      </c>
      <c r="G68" s="214" t="s">
        <v>202</v>
      </c>
      <c r="H68" s="199" t="s">
        <v>186</v>
      </c>
    </row>
    <row r="69" spans="1:19" ht="14.25" hidden="1" customHeight="1" x14ac:dyDescent="0.3">
      <c r="B69" s="224" t="s">
        <v>204</v>
      </c>
      <c r="C69" s="234">
        <v>190</v>
      </c>
      <c r="D69" s="200">
        <f>IFERROR(((($H$21/$C$62)+$C$31+$H$41+(($M$21*$M$19)/60))*(1+PrePostInsp_Loading))*Driver_Weekday,0)</f>
        <v>0</v>
      </c>
      <c r="E69" s="200">
        <f>IFERROR(((($I$21/$C$62)+$D$31+$I$41+(($N$21*$N$19)/60))*(1+PrePostInsp_Loading))*Driver_Weekday_Out,0)</f>
        <v>0</v>
      </c>
      <c r="F69" s="201"/>
      <c r="G69" s="201"/>
      <c r="H69" s="202"/>
    </row>
    <row r="70" spans="1:19" ht="14.25" hidden="1" customHeight="1" x14ac:dyDescent="0.3">
      <c r="B70" s="224" t="s">
        <v>205</v>
      </c>
      <c r="C70" s="234">
        <v>60</v>
      </c>
      <c r="D70" s="200">
        <f>IFERROR(((($H$22/$C$62)+$C$32+$H$42+(($M$22*$M$19)/60))*(1+PrePostInsp_Loading))*Driver_Weekday,0)</f>
        <v>0</v>
      </c>
      <c r="E70" s="200">
        <f>IFERROR(((($I$22/$C$62)+$D$32+$I$42+(($N$22*$N$19)/60))*(1+PrePostInsp_Loading))*Driver_Weekday_Out,0)</f>
        <v>0</v>
      </c>
      <c r="F70" s="201"/>
      <c r="G70" s="201"/>
      <c r="H70" s="202"/>
    </row>
    <row r="71" spans="1:19" ht="14.25" hidden="1" customHeight="1" x14ac:dyDescent="0.3">
      <c r="B71" s="224" t="s">
        <v>156</v>
      </c>
      <c r="C71" s="234">
        <v>52</v>
      </c>
      <c r="D71" s="201"/>
      <c r="E71" s="201"/>
      <c r="F71" s="200">
        <f>IFERROR(((($J$23/$C$62)+$E$33+$J$43+(($O$23*$O$19)/60))*(1+PrePostInsp_Loading)*Driver_Sat)+((($J$23/$C$62)+$E$33+$J$43+(($O$23*$O$19)/60))*Driver_Sat*WeekendPubHol_Loading),0)</f>
        <v>0</v>
      </c>
      <c r="G71" s="201"/>
      <c r="H71" s="202"/>
    </row>
    <row r="72" spans="1:19" ht="14.25" hidden="1" customHeight="1" x14ac:dyDescent="0.3">
      <c r="B72" s="224" t="s">
        <v>185</v>
      </c>
      <c r="C72" s="234">
        <v>52</v>
      </c>
      <c r="D72" s="201"/>
      <c r="E72" s="201"/>
      <c r="F72" s="201"/>
      <c r="G72" s="200">
        <f>IFERROR(((($K$24/$C$62)+$F$34+$K$44+(($P$24*$P$19)/60))*(1+PrePostInsp_Loading)*Driver_Sun)+((($K$24/$C$62)+$F$34+$K$44+(($P$24*$P$19)/60))*Driver_Sun*WeekendPubHol_Loading),0)</f>
        <v>0</v>
      </c>
      <c r="H72" s="202"/>
    </row>
    <row r="73" spans="1:19" ht="14.25" hidden="1" customHeight="1" x14ac:dyDescent="0.3">
      <c r="B73" s="224" t="s">
        <v>186</v>
      </c>
      <c r="C73" s="234">
        <v>11</v>
      </c>
      <c r="D73" s="235"/>
      <c r="E73" s="235"/>
      <c r="F73" s="235"/>
      <c r="G73" s="235"/>
      <c r="H73" s="236">
        <f>IFERROR(((($L$25/$C$62)+$G$35+$L$45+(($Q$25*$Q$19)/60))*(1+PrePostInsp_Loading)*Driver_PubHol)+((($L$25/$C$62)+$G$35+$L$45+(($Q$25*$Q$19)/60))*Driver_PubHol*WeekendPubHol_Loading),0)</f>
        <v>0</v>
      </c>
    </row>
    <row r="74" spans="1:19" ht="14.25" hidden="1" customHeight="1" x14ac:dyDescent="0.3">
      <c r="B74" s="229" t="s">
        <v>123</v>
      </c>
      <c r="C74" s="227">
        <f>SUM(C69:C73)</f>
        <v>365</v>
      </c>
      <c r="D74" s="206">
        <f>IFERROR(SUM(D69:D70),0)</f>
        <v>0</v>
      </c>
      <c r="E74" s="206">
        <f>IFERROR(SUM(E69:E70),0)</f>
        <v>0</v>
      </c>
      <c r="F74" s="206">
        <f>F71</f>
        <v>0</v>
      </c>
      <c r="G74" s="206">
        <f>G72</f>
        <v>0</v>
      </c>
      <c r="H74" s="207">
        <f>H73</f>
        <v>0</v>
      </c>
      <c r="I74" s="323" t="s">
        <v>265</v>
      </c>
    </row>
    <row r="75" spans="1:19" ht="14.25" hidden="1" customHeight="1" thickBot="1" x14ac:dyDescent="0.35">
      <c r="B75" s="208"/>
      <c r="C75" s="209"/>
      <c r="D75" s="462" t="s">
        <v>208</v>
      </c>
      <c r="E75" s="462"/>
      <c r="F75" s="462"/>
      <c r="G75" s="462"/>
      <c r="H75" s="210">
        <f>SUM(D74:H74)</f>
        <v>0</v>
      </c>
      <c r="I75" s="243">
        <f>H75*'GA Rates &amp; Allowances'!D11</f>
        <v>0</v>
      </c>
    </row>
    <row r="79" spans="1:19" ht="14.25" customHeight="1" x14ac:dyDescent="0.2">
      <c r="D79" s="243"/>
    </row>
  </sheetData>
  <sheetProtection algorithmName="SHA-512" hashValue="B/awJsJelxmZeiQ5Xm6Kfm0P0yolaxDyGek4UJD0WIoabgTkc+mUPamSl1cXmm6aXvTwRucqt07LhLDCMkGOJw==" saltValue="zZoRbRV7i6cc5zJLpgvdXw==" spinCount="100000" sheet="1" selectLockedCells="1"/>
  <mergeCells count="50">
    <mergeCell ref="F2:I2"/>
    <mergeCell ref="C19:G19"/>
    <mergeCell ref="H19:L19"/>
    <mergeCell ref="H27:K27"/>
    <mergeCell ref="C27:F27"/>
    <mergeCell ref="F3:I3"/>
    <mergeCell ref="F4:I4"/>
    <mergeCell ref="F5:I5"/>
    <mergeCell ref="L9:M9"/>
    <mergeCell ref="F6:I6"/>
    <mergeCell ref="F7:I7"/>
    <mergeCell ref="L6:M6"/>
    <mergeCell ref="L7:M7"/>
    <mergeCell ref="L8:M8"/>
    <mergeCell ref="L1:M1"/>
    <mergeCell ref="L2:M2"/>
    <mergeCell ref="L3:M3"/>
    <mergeCell ref="L4:M4"/>
    <mergeCell ref="L5:M5"/>
    <mergeCell ref="D67:H67"/>
    <mergeCell ref="I52:M52"/>
    <mergeCell ref="I60:L60"/>
    <mergeCell ref="D75:G75"/>
    <mergeCell ref="F8:I8"/>
    <mergeCell ref="F9:I9"/>
    <mergeCell ref="F10:I10"/>
    <mergeCell ref="F12:I12"/>
    <mergeCell ref="F13:I13"/>
    <mergeCell ref="E16:F16"/>
    <mergeCell ref="C29:G29"/>
    <mergeCell ref="M17:Q17"/>
    <mergeCell ref="M27:P27"/>
    <mergeCell ref="H39:L39"/>
    <mergeCell ref="N40:P40"/>
    <mergeCell ref="H47:K47"/>
    <mergeCell ref="F57:G57"/>
    <mergeCell ref="F58:G58"/>
    <mergeCell ref="F59:G59"/>
    <mergeCell ref="F60:G60"/>
    <mergeCell ref="L11:N11"/>
    <mergeCell ref="F53:G53"/>
    <mergeCell ref="F52:G52"/>
    <mergeCell ref="F54:G54"/>
    <mergeCell ref="F55:G55"/>
    <mergeCell ref="F56:G56"/>
    <mergeCell ref="H29:L29"/>
    <mergeCell ref="H37:K37"/>
    <mergeCell ref="M29:Q29"/>
    <mergeCell ref="M37:P37"/>
    <mergeCell ref="C37:F37"/>
  </mergeCells>
  <dataValidations count="12">
    <dataValidation type="list" showInputMessage="1" showErrorMessage="1" sqref="C6" xr:uid="{00000000-0002-0000-0000-000000000000}">
      <formula1>"Tier 2"</formula1>
    </dataValidation>
    <dataValidation type="list" allowBlank="1" showInputMessage="1" showErrorMessage="1" sqref="C7:C8" xr:uid="{00000000-0002-0000-0000-000001000000}">
      <formula1>"Base, Step 1"</formula1>
    </dataValidation>
    <dataValidation type="list" allowBlank="1" showInputMessage="1" showErrorMessage="1" sqref="C3" xr:uid="{00000000-0002-0000-0000-000002000000}">
      <formula1>"Please Select,Small,Medium,Large,X-Large,Articulated"</formula1>
    </dataValidation>
    <dataValidation type="whole" operator="lessThanOrEqual" allowBlank="1" showInputMessage="1" showErrorMessage="1" sqref="C9" xr:uid="{00000000-0002-0000-0000-000003000000}">
      <formula1>C5</formula1>
    </dataValidation>
    <dataValidation type="list" operator="lessThanOrEqual" allowBlank="1" showInputMessage="1" showErrorMessage="1" sqref="C12" xr:uid="{00000000-0002-0000-0000-000004000000}">
      <formula1>"Base,Rotation"</formula1>
    </dataValidation>
    <dataValidation type="list" errorStyle="information" operator="lessThanOrEqual" allowBlank="1" showInputMessage="1" showErrorMessage="1" errorTitle="Excessive Km" error="The total unloaded kilometres (shuttle vehicle and bus) cannot exceed 110% of the loaded kilometres. Please revise." sqref="C16" xr:uid="{00000000-0002-0000-0000-000005000000}">
      <formula1>"NO,YES"</formula1>
    </dataValidation>
    <dataValidation type="list" allowBlank="1" showInputMessage="1" showErrorMessage="1" sqref="M19:Q19" xr:uid="{00000000-0002-0000-0000-000006000000}">
      <formula1>"0,1,2,3,4,5,6,7,8,9,10"</formula1>
    </dataValidation>
    <dataValidation operator="lessThanOrEqual" allowBlank="1" showInputMessage="1" showErrorMessage="1" sqref="C13:C14" xr:uid="{00000000-0002-0000-0000-000007000000}"/>
    <dataValidation type="list" allowBlank="1" showInputMessage="1" showErrorMessage="1" sqref="C4" xr:uid="{00000000-0002-0000-0000-000008000000}">
      <formula1>"Urban,Non-Urban,Mixed"</formula1>
    </dataValidation>
    <dataValidation type="list" allowBlank="1" showInputMessage="1" showErrorMessage="1" sqref="C11" xr:uid="{00000000-0002-0000-0000-000009000000}">
      <formula1>"None,Standard,Complex"</formula1>
    </dataValidation>
    <dataValidation type="list" allowBlank="1" showInputMessage="1" showErrorMessage="1" sqref="E3:E15" xr:uid="{00000000-0002-0000-0000-00000A000000}">
      <formula1>"Please Select,Interchange,Bus Mall,Transit Centre,Legacy Ticket System,Booking System,3rd Party Ticket Sales,Other"</formula1>
    </dataValidation>
    <dataValidation type="decimal" operator="lessThanOrEqual" allowBlank="1" showInputMessage="1" showErrorMessage="1" errorTitle="Excess Claim Amount" error="The additional Workers Compensation must not exceed 1.4%. Refer clause 14.6 of the BCPM-GA" sqref="C15" xr:uid="{00000000-0002-0000-0000-00000B000000}">
      <formula1>1.4</formula1>
    </dataValidation>
  </dataValidations>
  <pageMargins left="0.7" right="0.7" top="0.75" bottom="0.75" header="0.3" footer="0.3"/>
  <pageSetup paperSize="8" scale="66" orientation="landscape" r:id="rId1"/>
  <customProperties>
    <customPr name="SSC_SHEET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61642-4C42-43AA-9349-FC82BB7A6FCC}">
  <sheetPr codeName="Sheet6">
    <pageSetUpPr fitToPage="1"/>
  </sheetPr>
  <dimension ref="A1:I14"/>
  <sheetViews>
    <sheetView workbookViewId="0">
      <selection activeCell="B3" sqref="B3"/>
    </sheetView>
  </sheetViews>
  <sheetFormatPr defaultRowHeight="12.75" x14ac:dyDescent="0.2"/>
  <cols>
    <col min="1" max="1" width="15.140625" customWidth="1"/>
    <col min="2" max="8" width="16.85546875" customWidth="1"/>
    <col min="9" max="9" width="13.140625" customWidth="1"/>
  </cols>
  <sheetData>
    <row r="1" spans="1:9" ht="18" x14ac:dyDescent="0.25">
      <c r="D1" s="480" t="s">
        <v>289</v>
      </c>
      <c r="E1" s="480"/>
    </row>
    <row r="2" spans="1:9" ht="38.25" customHeight="1" x14ac:dyDescent="0.2">
      <c r="A2" s="392" t="s">
        <v>276</v>
      </c>
      <c r="B2" s="393" t="s">
        <v>277</v>
      </c>
      <c r="C2" s="393" t="s">
        <v>278</v>
      </c>
      <c r="D2" s="393" t="s">
        <v>279</v>
      </c>
      <c r="E2" s="393" t="s">
        <v>280</v>
      </c>
      <c r="F2" s="393" t="s">
        <v>224</v>
      </c>
      <c r="G2" s="393" t="s">
        <v>281</v>
      </c>
      <c r="H2" s="393" t="s">
        <v>225</v>
      </c>
      <c r="I2" s="389"/>
    </row>
    <row r="3" spans="1:9" ht="38.25" customHeight="1" x14ac:dyDescent="0.2">
      <c r="A3" s="394" t="s">
        <v>282</v>
      </c>
      <c r="B3" s="397">
        <f>'GA Model'!E23</f>
        <v>0</v>
      </c>
      <c r="C3" s="397">
        <f>'GA Model'!E33</f>
        <v>0</v>
      </c>
      <c r="D3" s="397">
        <f>'GA Model'!J23</f>
        <v>0</v>
      </c>
      <c r="E3" s="397">
        <f>'GA Model'!J33</f>
        <v>0</v>
      </c>
      <c r="F3" s="397">
        <f>'GA Model'!O23</f>
        <v>0</v>
      </c>
      <c r="G3" s="397">
        <f>'GA Model'!O33</f>
        <v>0</v>
      </c>
      <c r="H3" s="397">
        <f>'GA Model'!J43</f>
        <v>0</v>
      </c>
      <c r="I3" s="389"/>
    </row>
    <row r="4" spans="1:9" ht="38.25" customHeight="1" x14ac:dyDescent="0.2">
      <c r="A4" s="394" t="s">
        <v>283</v>
      </c>
      <c r="B4" s="397">
        <f>'GA Model'!F24</f>
        <v>0</v>
      </c>
      <c r="C4" s="397">
        <f>'GA Model'!F34</f>
        <v>0</v>
      </c>
      <c r="D4" s="397">
        <f>'GA Model'!K24</f>
        <v>0</v>
      </c>
      <c r="E4" s="397">
        <f>'GA Model'!K34</f>
        <v>0</v>
      </c>
      <c r="F4" s="397">
        <f>'GA Model'!P24</f>
        <v>0</v>
      </c>
      <c r="G4" s="397">
        <f>'GA Model'!P34</f>
        <v>0</v>
      </c>
      <c r="H4" s="397">
        <f>'GA Model'!K44</f>
        <v>0</v>
      </c>
      <c r="I4" s="389"/>
    </row>
    <row r="5" spans="1:9" ht="38.25" customHeight="1" x14ac:dyDescent="0.2">
      <c r="A5" s="394" t="s">
        <v>284</v>
      </c>
      <c r="B5" s="397">
        <f>'GA Model'!G25</f>
        <v>0</v>
      </c>
      <c r="C5" s="397">
        <f>'GA Model'!G25</f>
        <v>0</v>
      </c>
      <c r="D5" s="397">
        <f>'GA Model'!L25</f>
        <v>0</v>
      </c>
      <c r="E5" s="397">
        <f>'GA Model'!L35</f>
        <v>0</v>
      </c>
      <c r="F5" s="397">
        <f>'GA Model'!Q25</f>
        <v>0</v>
      </c>
      <c r="G5" s="397">
        <f>'GA Model'!Q35</f>
        <v>0</v>
      </c>
      <c r="H5" s="397">
        <f>'GA Model'!L45</f>
        <v>0</v>
      </c>
      <c r="I5" s="389"/>
    </row>
    <row r="6" spans="1:9" ht="38.25" customHeight="1" x14ac:dyDescent="0.2">
      <c r="A6" s="479" t="s">
        <v>285</v>
      </c>
      <c r="B6" s="396" t="s">
        <v>287</v>
      </c>
      <c r="C6" s="396" t="s">
        <v>287</v>
      </c>
      <c r="D6" s="396" t="s">
        <v>287</v>
      </c>
      <c r="E6" s="396" t="s">
        <v>287</v>
      </c>
      <c r="F6" s="396" t="s">
        <v>287</v>
      </c>
      <c r="G6" s="396" t="s">
        <v>287</v>
      </c>
      <c r="H6" s="396" t="s">
        <v>287</v>
      </c>
      <c r="I6" s="390"/>
    </row>
    <row r="7" spans="1:9" ht="38.25" customHeight="1" x14ac:dyDescent="0.2">
      <c r="A7" s="479"/>
      <c r="B7" s="397">
        <f>'GA Model'!D21</f>
        <v>0</v>
      </c>
      <c r="C7" s="397">
        <f>'GA Model'!D31</f>
        <v>0</v>
      </c>
      <c r="D7" s="397">
        <f>'GA Model'!I21</f>
        <v>0</v>
      </c>
      <c r="E7" s="397">
        <f>'GA Model'!I31</f>
        <v>0</v>
      </c>
      <c r="F7" s="397">
        <f>'GA Model'!N31</f>
        <v>0</v>
      </c>
      <c r="G7" s="397">
        <f>'GA Model'!N31</f>
        <v>0</v>
      </c>
      <c r="H7" s="397">
        <f>'GA Model'!I41</f>
        <v>0</v>
      </c>
      <c r="I7" s="390"/>
    </row>
    <row r="8" spans="1:9" ht="38.25" customHeight="1" x14ac:dyDescent="0.2">
      <c r="A8" s="479"/>
      <c r="B8" s="394" t="s">
        <v>290</v>
      </c>
      <c r="C8" s="394" t="s">
        <v>290</v>
      </c>
      <c r="D8" s="394" t="s">
        <v>290</v>
      </c>
      <c r="E8" s="394" t="s">
        <v>290</v>
      </c>
      <c r="F8" s="394" t="s">
        <v>290</v>
      </c>
      <c r="G8" s="394" t="s">
        <v>290</v>
      </c>
      <c r="H8" s="394" t="s">
        <v>290</v>
      </c>
      <c r="I8" s="391"/>
    </row>
    <row r="9" spans="1:9" ht="38.25" customHeight="1" x14ac:dyDescent="0.2">
      <c r="A9" s="479"/>
      <c r="B9" s="397">
        <f>'GA Model'!D22</f>
        <v>0</v>
      </c>
      <c r="C9" s="397">
        <f>'GA Model'!D32</f>
        <v>0</v>
      </c>
      <c r="D9" s="397">
        <f>'GA Model'!I22</f>
        <v>0</v>
      </c>
      <c r="E9" s="397">
        <f>'GA Model'!I32</f>
        <v>0</v>
      </c>
      <c r="F9" s="397">
        <f>'GA Model'!N32</f>
        <v>0</v>
      </c>
      <c r="G9" s="397">
        <f>'GA Model'!N32</f>
        <v>0</v>
      </c>
      <c r="H9" s="397">
        <f>'GA Model'!I42</f>
        <v>0</v>
      </c>
      <c r="I9" s="389"/>
    </row>
    <row r="10" spans="1:9" ht="38.25" customHeight="1" x14ac:dyDescent="0.2">
      <c r="A10" s="479" t="s">
        <v>286</v>
      </c>
      <c r="B10" s="396" t="s">
        <v>287</v>
      </c>
      <c r="C10" s="396" t="s">
        <v>287</v>
      </c>
      <c r="D10" s="396" t="s">
        <v>287</v>
      </c>
      <c r="E10" s="396" t="s">
        <v>287</v>
      </c>
      <c r="F10" s="396" t="s">
        <v>287</v>
      </c>
      <c r="G10" s="396" t="s">
        <v>287</v>
      </c>
      <c r="H10" s="396" t="s">
        <v>287</v>
      </c>
      <c r="I10" s="390"/>
    </row>
    <row r="11" spans="1:9" ht="38.25" customHeight="1" x14ac:dyDescent="0.2">
      <c r="A11" s="479"/>
      <c r="B11" s="397">
        <f>'GA Model'!C21</f>
        <v>0</v>
      </c>
      <c r="C11" s="397">
        <f>'GA Model'!C31</f>
        <v>0</v>
      </c>
      <c r="D11" s="397">
        <f>'GA Model'!H21</f>
        <v>0</v>
      </c>
      <c r="E11" s="397">
        <f>'GA Model'!H31</f>
        <v>0</v>
      </c>
      <c r="F11" s="397">
        <f>'GA Model'!M31</f>
        <v>0</v>
      </c>
      <c r="G11" s="397">
        <f>'GA Model'!M31</f>
        <v>0</v>
      </c>
      <c r="H11" s="397">
        <f>'GA Model'!H41</f>
        <v>0</v>
      </c>
      <c r="I11" s="390"/>
    </row>
    <row r="12" spans="1:9" ht="38.25" customHeight="1" x14ac:dyDescent="0.2">
      <c r="A12" s="479"/>
      <c r="B12" s="394" t="s">
        <v>290</v>
      </c>
      <c r="C12" s="394" t="s">
        <v>290</v>
      </c>
      <c r="D12" s="394" t="s">
        <v>290</v>
      </c>
      <c r="E12" s="394" t="s">
        <v>290</v>
      </c>
      <c r="F12" s="394" t="s">
        <v>290</v>
      </c>
      <c r="G12" s="394" t="s">
        <v>290</v>
      </c>
      <c r="H12" s="394" t="s">
        <v>290</v>
      </c>
      <c r="I12" s="391"/>
    </row>
    <row r="13" spans="1:9" ht="38.25" customHeight="1" x14ac:dyDescent="0.2">
      <c r="A13" s="479"/>
      <c r="B13" s="397">
        <f>'GA Model'!C22</f>
        <v>0</v>
      </c>
      <c r="C13" s="397">
        <f>'GA Model'!C32</f>
        <v>0</v>
      </c>
      <c r="D13" s="397">
        <f>'GA Model'!H22</f>
        <v>0</v>
      </c>
      <c r="E13" s="397">
        <f>'GA Model'!H32</f>
        <v>0</v>
      </c>
      <c r="F13" s="397">
        <f>'GA Model'!M32</f>
        <v>0</v>
      </c>
      <c r="G13" s="397">
        <f>'GA Model'!M32</f>
        <v>0</v>
      </c>
      <c r="H13" s="397">
        <f>'GA Model'!H42</f>
        <v>0</v>
      </c>
      <c r="I13" s="389"/>
    </row>
    <row r="14" spans="1:9" ht="38.25" customHeight="1" x14ac:dyDescent="0.2">
      <c r="A14" s="395" t="s">
        <v>288</v>
      </c>
      <c r="B14" s="398">
        <f t="shared" ref="B14:H14" si="0">B3+B4+B5+B7+B9+B11+B13</f>
        <v>0</v>
      </c>
      <c r="C14" s="398">
        <f t="shared" si="0"/>
        <v>0</v>
      </c>
      <c r="D14" s="398">
        <f t="shared" si="0"/>
        <v>0</v>
      </c>
      <c r="E14" s="398">
        <f t="shared" si="0"/>
        <v>0</v>
      </c>
      <c r="F14" s="398">
        <f t="shared" si="0"/>
        <v>0</v>
      </c>
      <c r="G14" s="398">
        <f t="shared" si="0"/>
        <v>0</v>
      </c>
      <c r="H14" s="398">
        <f t="shared" si="0"/>
        <v>0</v>
      </c>
    </row>
  </sheetData>
  <mergeCells count="3">
    <mergeCell ref="A6:A9"/>
    <mergeCell ref="A10:A13"/>
    <mergeCell ref="D1:E1"/>
  </mergeCells>
  <pageMargins left="0.7" right="0.7" top="0.75" bottom="0.75" header="0.3" footer="0.3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F489A-8C36-4413-95C9-512CF905D1C3}">
  <sheetPr codeName="Sheet7">
    <tabColor rgb="FF92D050"/>
    <pageSetUpPr fitToPage="1"/>
  </sheetPr>
  <dimension ref="A1:AF29"/>
  <sheetViews>
    <sheetView zoomScaleNormal="100" workbookViewId="0">
      <selection activeCell="A3" sqref="A3"/>
    </sheetView>
  </sheetViews>
  <sheetFormatPr defaultRowHeight="12.75" x14ac:dyDescent="0.2"/>
  <cols>
    <col min="1" max="1" width="10.5703125" customWidth="1"/>
    <col min="2" max="2" width="19.7109375" customWidth="1"/>
    <col min="3" max="3" width="10.85546875" customWidth="1"/>
    <col min="4" max="4" width="15.5703125" customWidth="1"/>
    <col min="5" max="5" width="9.7109375" customWidth="1"/>
    <col min="6" max="6" width="12" customWidth="1"/>
    <col min="7" max="7" width="11" customWidth="1"/>
    <col min="8" max="8" width="11.5703125" hidden="1" customWidth="1"/>
    <col min="9" max="9" width="12" customWidth="1"/>
    <col min="10" max="10" width="9.7109375" customWidth="1"/>
    <col min="11" max="12" width="11.28515625" customWidth="1"/>
    <col min="13" max="13" width="12" hidden="1" customWidth="1"/>
    <col min="14" max="14" width="12.28515625" hidden="1" customWidth="1"/>
    <col min="15" max="15" width="14.42578125" hidden="1" customWidth="1"/>
    <col min="16" max="17" width="6.5703125" hidden="1" customWidth="1"/>
    <col min="18" max="18" width="10.7109375" hidden="1" customWidth="1"/>
    <col min="19" max="19" width="9.7109375" hidden="1" customWidth="1"/>
    <col min="20" max="20" width="12.28515625" customWidth="1"/>
    <col min="21" max="21" width="9.7109375" customWidth="1"/>
    <col min="22" max="23" width="9.7109375" hidden="1" customWidth="1"/>
    <col min="24" max="24" width="16.28515625" hidden="1" customWidth="1"/>
    <col min="25" max="25" width="7.7109375" hidden="1" customWidth="1"/>
    <col min="26" max="26" width="16.140625" customWidth="1"/>
    <col min="27" max="27" width="7.5703125" hidden="1" customWidth="1"/>
    <col min="28" max="28" width="16.140625" hidden="1" customWidth="1"/>
    <col min="29" max="30" width="16.7109375" hidden="1" customWidth="1"/>
    <col min="31" max="32" width="16.7109375" customWidth="1"/>
  </cols>
  <sheetData>
    <row r="1" spans="1:32" ht="16.5" thickBot="1" x14ac:dyDescent="0.3">
      <c r="A1" s="427" t="s">
        <v>309</v>
      </c>
      <c r="B1" s="428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30" t="s">
        <v>139</v>
      </c>
      <c r="AF1" s="431"/>
    </row>
    <row r="2" spans="1:32" ht="40.5" customHeight="1" thickBot="1" x14ac:dyDescent="0.25">
      <c r="A2" s="399" t="s">
        <v>142</v>
      </c>
      <c r="B2" s="400" t="s">
        <v>218</v>
      </c>
      <c r="C2" s="400" t="s">
        <v>143</v>
      </c>
      <c r="D2" s="400" t="s">
        <v>144</v>
      </c>
      <c r="E2" s="400" t="s">
        <v>145</v>
      </c>
      <c r="F2" s="400" t="s">
        <v>310</v>
      </c>
      <c r="G2" s="400" t="s">
        <v>311</v>
      </c>
      <c r="H2" s="403" t="s">
        <v>297</v>
      </c>
      <c r="I2" s="400" t="s">
        <v>301</v>
      </c>
      <c r="J2" s="400" t="s">
        <v>299</v>
      </c>
      <c r="K2" s="400" t="s">
        <v>312</v>
      </c>
      <c r="L2" s="400" t="s">
        <v>300</v>
      </c>
      <c r="M2" s="403" t="s">
        <v>298</v>
      </c>
      <c r="N2" s="403" t="s">
        <v>313</v>
      </c>
      <c r="O2" s="403" t="s">
        <v>306</v>
      </c>
      <c r="P2" s="403" t="s">
        <v>302</v>
      </c>
      <c r="Q2" s="403" t="s">
        <v>303</v>
      </c>
      <c r="R2" s="403" t="s">
        <v>304</v>
      </c>
      <c r="S2" s="403" t="s">
        <v>305</v>
      </c>
      <c r="T2" s="400" t="s">
        <v>146</v>
      </c>
      <c r="U2" s="400" t="s">
        <v>268</v>
      </c>
      <c r="V2" s="403" t="s">
        <v>291</v>
      </c>
      <c r="W2" s="403" t="s">
        <v>292</v>
      </c>
      <c r="X2" s="403" t="s">
        <v>293</v>
      </c>
      <c r="Y2" s="403" t="s">
        <v>295</v>
      </c>
      <c r="Z2" s="400" t="s">
        <v>270</v>
      </c>
      <c r="AA2" s="406" t="s">
        <v>308</v>
      </c>
      <c r="AB2" s="403" t="s">
        <v>307</v>
      </c>
      <c r="AC2" s="403" t="s">
        <v>271</v>
      </c>
      <c r="AD2" s="403" t="s">
        <v>294</v>
      </c>
      <c r="AE2" s="402" t="s">
        <v>314</v>
      </c>
      <c r="AF2" s="432" t="s">
        <v>296</v>
      </c>
    </row>
    <row r="3" spans="1:32" ht="15" x14ac:dyDescent="0.2">
      <c r="A3" s="335"/>
      <c r="B3" s="212" t="s">
        <v>273</v>
      </c>
      <c r="C3" s="212" t="s">
        <v>40</v>
      </c>
      <c r="D3" s="414"/>
      <c r="E3" s="212"/>
      <c r="F3" s="412"/>
      <c r="G3" s="412"/>
      <c r="H3" s="416" t="str">
        <f>IF(F3="","",DATE(G3,F3,1))</f>
        <v/>
      </c>
      <c r="I3" s="411"/>
      <c r="J3" s="412"/>
      <c r="K3" s="412"/>
      <c r="L3" s="212"/>
      <c r="M3" s="433" t="str">
        <f>IF(K3="","",DATE(L3,K3,1))</f>
        <v/>
      </c>
      <c r="N3" s="434" t="e">
        <f>IF(C3="yes","",IF(M3-H3&gt;182,"Yes","No"))</f>
        <v>#VALUE!</v>
      </c>
      <c r="O3" s="434" t="e">
        <f>IF(N3="yes",IF(S3&lt;10,((Z3-(Z3*0.3))/(11-P3))*(Q3-P3),((Z3-(IF(T3="Artic",10000,3000)))/(20-P3))*(Q3-P3)),0)</f>
        <v>#VALUE!</v>
      </c>
      <c r="P3" s="434">
        <f>R3-(L3-G3)</f>
        <v>0</v>
      </c>
      <c r="Q3" s="434">
        <f>R3-(L3-J3)</f>
        <v>0</v>
      </c>
      <c r="R3" s="413">
        <f>IF($L3-$E3&gt;2,$L3-$E3,IF($I3="Yes",$L3-$E3,0))</f>
        <v>0</v>
      </c>
      <c r="S3" s="413">
        <f ca="1">YEAR(TODAY())-L3+R3</f>
        <v>2021</v>
      </c>
      <c r="T3" s="212"/>
      <c r="U3" s="417"/>
      <c r="V3" s="435">
        <v>0.88500000000000001</v>
      </c>
      <c r="W3" s="435">
        <f>U3+1.5%</f>
        <v>1.4999999999999999E-2</v>
      </c>
      <c r="X3" s="435">
        <f>(U3*V3)+(W3*(1-V3))</f>
        <v>1.7249999999999998E-3</v>
      </c>
      <c r="Y3" s="413" t="str">
        <f>IF(AF3="Yes",10,"")</f>
        <v/>
      </c>
      <c r="Z3" s="418"/>
      <c r="AA3" s="436" t="e">
        <f>HLOOKUP(T3,'Capital Rates'!$A$37:$F$48,12,FALSE)</f>
        <v>#N/A</v>
      </c>
      <c r="AB3" s="419" t="e">
        <f>VLOOKUP(R3,'Capital Rates'!$A$18:$F$47,Fleet!$AA3,FALSE)</f>
        <v>#REF!</v>
      </c>
      <c r="AC3" s="419" t="e">
        <f>IF(AB3&lt;Z3-O3,AB3,Z3-O3)</f>
        <v>#REF!</v>
      </c>
      <c r="AD3" s="419" t="e">
        <f>IF(C3="yes","",IF(R3&lt;11,AC3*0.3,IF(T3="Artic",10000,3000)))</f>
        <v>#REF!</v>
      </c>
      <c r="AE3" s="437" t="e">
        <f>PMT(X3,Y3,-AC3,AD3)</f>
        <v>#VALUE!</v>
      </c>
      <c r="AF3" s="438" t="str">
        <f>IF(T3="small",IF(R3&lt;11,"Yes","No"),IF(A3="","",IF(R3&lt;21,"Yes","No")))</f>
        <v/>
      </c>
    </row>
    <row r="4" spans="1:32" s="401" customFormat="1" ht="15" x14ac:dyDescent="0.2">
      <c r="A4" s="335"/>
      <c r="B4" s="212" t="s">
        <v>273</v>
      </c>
      <c r="C4" s="212" t="s">
        <v>40</v>
      </c>
      <c r="D4" s="414"/>
      <c r="E4" s="212"/>
      <c r="F4" s="412"/>
      <c r="G4" s="412"/>
      <c r="H4" s="416"/>
      <c r="I4" s="411"/>
      <c r="J4" s="412"/>
      <c r="K4" s="412"/>
      <c r="L4" s="212"/>
      <c r="M4" s="433" t="str">
        <f t="shared" ref="M4:M27" si="0">IF(K4="","",DATE(L4,K4,1))</f>
        <v/>
      </c>
      <c r="N4" s="434" t="e">
        <f t="shared" ref="N4:N27" si="1">IF(C4="yes","",IF(M4-H4&gt;182,"Yes","No"))</f>
        <v>#VALUE!</v>
      </c>
      <c r="O4" s="434" t="e">
        <f t="shared" ref="O4:O27" si="2">IF(N4="yes",IF(S4&lt;10,((Z4-(Z4*0.3))/(11-P4))*(Q4-P4),((Z4-(IF(T4="Artic",10000,3000)))/(20-P4))*(Q4-P4)),0)</f>
        <v>#VALUE!</v>
      </c>
      <c r="P4" s="434">
        <f t="shared" ref="P4:P27" si="3">R4-(L4-G4)</f>
        <v>0</v>
      </c>
      <c r="Q4" s="434">
        <f t="shared" ref="Q4:Q27" si="4">R4-(L4-J4)</f>
        <v>0</v>
      </c>
      <c r="R4" s="413">
        <f t="shared" ref="R4:R27" si="5">IF($L4-$E4&gt;2,$L4-$E4,IF($I4="Yes",$L4-$E4,0))</f>
        <v>0</v>
      </c>
      <c r="S4" s="413">
        <f t="shared" ref="S4:S27" ca="1" si="6">YEAR(TODAY())-L4+R4</f>
        <v>2021</v>
      </c>
      <c r="T4" s="212"/>
      <c r="U4" s="417"/>
      <c r="V4" s="435">
        <v>0.88500000000000001</v>
      </c>
      <c r="W4" s="435">
        <f t="shared" ref="W4:W27" si="7">U4+1.5%</f>
        <v>1.4999999999999999E-2</v>
      </c>
      <c r="X4" s="435">
        <f t="shared" ref="X4:X27" si="8">(U4*V4)+(W4*(1-V4))</f>
        <v>1.7249999999999998E-3</v>
      </c>
      <c r="Y4" s="413" t="str">
        <f t="shared" ref="Y4:Y27" si="9">IF(AF4="Yes",10,"")</f>
        <v/>
      </c>
      <c r="Z4" s="418"/>
      <c r="AA4" s="436" t="e">
        <f>HLOOKUP(T4,'Capital Rates'!$A$37:$F$48,12,FALSE)</f>
        <v>#N/A</v>
      </c>
      <c r="AB4" s="419" t="e">
        <f>VLOOKUP(R4,'Capital Rates'!$A$18:$F$47,Fleet!$AA4,FALSE)</f>
        <v>#REF!</v>
      </c>
      <c r="AC4" s="419" t="e">
        <f t="shared" ref="AC4:AC27" si="10">IF(AB4&lt;Z4-O4,AB4,Z4-O4)</f>
        <v>#REF!</v>
      </c>
      <c r="AD4" s="419" t="e">
        <f t="shared" ref="AD4:AD27" si="11">IF(C4="yes","",IF(R4&lt;11,AC4*0.3,IF(T4="Artic",10000,3000)))</f>
        <v>#REF!</v>
      </c>
      <c r="AE4" s="437" t="e">
        <f t="shared" ref="AE4:AE27" si="12">PMT(X4,Y4,-AC4,AD4)</f>
        <v>#VALUE!</v>
      </c>
      <c r="AF4" s="438" t="str">
        <f t="shared" ref="AF4:AF27" si="13">IF(T4="small",IF(R4&lt;11,"Yes","No"),IF(A4="","",IF(R4&lt;21,"Yes","No")))</f>
        <v/>
      </c>
    </row>
    <row r="5" spans="1:32" s="401" customFormat="1" ht="15" x14ac:dyDescent="0.2">
      <c r="A5" s="335"/>
      <c r="B5" s="212" t="s">
        <v>273</v>
      </c>
      <c r="C5" s="212" t="s">
        <v>40</v>
      </c>
      <c r="D5" s="414"/>
      <c r="E5" s="212"/>
      <c r="F5" s="412"/>
      <c r="G5" s="412"/>
      <c r="H5" s="416"/>
      <c r="I5" s="411"/>
      <c r="J5" s="412"/>
      <c r="K5" s="412"/>
      <c r="L5" s="212"/>
      <c r="M5" s="433" t="str">
        <f t="shared" si="0"/>
        <v/>
      </c>
      <c r="N5" s="434" t="e">
        <f t="shared" si="1"/>
        <v>#VALUE!</v>
      </c>
      <c r="O5" s="434" t="e">
        <f t="shared" si="2"/>
        <v>#VALUE!</v>
      </c>
      <c r="P5" s="434">
        <f t="shared" si="3"/>
        <v>0</v>
      </c>
      <c r="Q5" s="434">
        <f t="shared" si="4"/>
        <v>0</v>
      </c>
      <c r="R5" s="413">
        <f t="shared" si="5"/>
        <v>0</v>
      </c>
      <c r="S5" s="413">
        <f t="shared" ca="1" si="6"/>
        <v>2021</v>
      </c>
      <c r="T5" s="212"/>
      <c r="U5" s="417"/>
      <c r="V5" s="435">
        <v>0.88500000000000001</v>
      </c>
      <c r="W5" s="435">
        <f t="shared" si="7"/>
        <v>1.4999999999999999E-2</v>
      </c>
      <c r="X5" s="435">
        <f t="shared" si="8"/>
        <v>1.7249999999999998E-3</v>
      </c>
      <c r="Y5" s="413" t="str">
        <f t="shared" si="9"/>
        <v/>
      </c>
      <c r="Z5" s="418"/>
      <c r="AA5" s="436" t="e">
        <f>HLOOKUP(T5,'Capital Rates'!$A$37:$F$48,12,FALSE)</f>
        <v>#N/A</v>
      </c>
      <c r="AB5" s="419" t="e">
        <f>VLOOKUP(R5,'Capital Rates'!$A$18:$F$47,Fleet!$AA5,FALSE)</f>
        <v>#REF!</v>
      </c>
      <c r="AC5" s="419" t="e">
        <f t="shared" si="10"/>
        <v>#REF!</v>
      </c>
      <c r="AD5" s="419" t="e">
        <f t="shared" si="11"/>
        <v>#REF!</v>
      </c>
      <c r="AE5" s="437" t="e">
        <f t="shared" si="12"/>
        <v>#VALUE!</v>
      </c>
      <c r="AF5" s="438" t="str">
        <f t="shared" si="13"/>
        <v/>
      </c>
    </row>
    <row r="6" spans="1:32" s="401" customFormat="1" ht="15" x14ac:dyDescent="0.2">
      <c r="A6" s="335"/>
      <c r="B6" s="212" t="s">
        <v>273</v>
      </c>
      <c r="C6" s="212" t="s">
        <v>40</v>
      </c>
      <c r="D6" s="414"/>
      <c r="E6" s="212"/>
      <c r="F6" s="412"/>
      <c r="G6" s="412"/>
      <c r="H6" s="415"/>
      <c r="I6" s="212"/>
      <c r="J6" s="412"/>
      <c r="K6" s="412"/>
      <c r="L6" s="212"/>
      <c r="M6" s="433" t="str">
        <f t="shared" si="0"/>
        <v/>
      </c>
      <c r="N6" s="434" t="e">
        <f t="shared" si="1"/>
        <v>#VALUE!</v>
      </c>
      <c r="O6" s="434" t="e">
        <f t="shared" si="2"/>
        <v>#VALUE!</v>
      </c>
      <c r="P6" s="434">
        <f t="shared" si="3"/>
        <v>0</v>
      </c>
      <c r="Q6" s="434">
        <f t="shared" si="4"/>
        <v>0</v>
      </c>
      <c r="R6" s="413">
        <f t="shared" si="5"/>
        <v>0</v>
      </c>
      <c r="S6" s="413">
        <f t="shared" ca="1" si="6"/>
        <v>2021</v>
      </c>
      <c r="T6" s="212"/>
      <c r="U6" s="417"/>
      <c r="V6" s="435">
        <v>0.88500000000000001</v>
      </c>
      <c r="W6" s="435">
        <f t="shared" si="7"/>
        <v>1.4999999999999999E-2</v>
      </c>
      <c r="X6" s="435">
        <f t="shared" si="8"/>
        <v>1.7249999999999998E-3</v>
      </c>
      <c r="Y6" s="413" t="str">
        <f t="shared" si="9"/>
        <v/>
      </c>
      <c r="Z6" s="418"/>
      <c r="AA6" s="436" t="e">
        <f>HLOOKUP(T6,'Capital Rates'!$A$37:$F$48,12,FALSE)</f>
        <v>#N/A</v>
      </c>
      <c r="AB6" s="419" t="e">
        <f>VLOOKUP(R6,'Capital Rates'!$A$18:$F$47,Fleet!$AA6,FALSE)</f>
        <v>#REF!</v>
      </c>
      <c r="AC6" s="419" t="e">
        <f t="shared" si="10"/>
        <v>#REF!</v>
      </c>
      <c r="AD6" s="419" t="e">
        <f t="shared" si="11"/>
        <v>#REF!</v>
      </c>
      <c r="AE6" s="437" t="e">
        <f t="shared" si="12"/>
        <v>#VALUE!</v>
      </c>
      <c r="AF6" s="438" t="str">
        <f t="shared" si="13"/>
        <v/>
      </c>
    </row>
    <row r="7" spans="1:32" s="401" customFormat="1" ht="15" x14ac:dyDescent="0.2">
      <c r="A7" s="335"/>
      <c r="B7" s="212" t="s">
        <v>273</v>
      </c>
      <c r="C7" s="212" t="s">
        <v>40</v>
      </c>
      <c r="D7" s="414"/>
      <c r="E7" s="212"/>
      <c r="F7" s="412"/>
      <c r="G7" s="412"/>
      <c r="H7" s="415"/>
      <c r="I7" s="212"/>
      <c r="J7" s="412"/>
      <c r="K7" s="412"/>
      <c r="L7" s="212"/>
      <c r="M7" s="433" t="str">
        <f t="shared" si="0"/>
        <v/>
      </c>
      <c r="N7" s="434" t="e">
        <f t="shared" si="1"/>
        <v>#VALUE!</v>
      </c>
      <c r="O7" s="434" t="e">
        <f t="shared" si="2"/>
        <v>#VALUE!</v>
      </c>
      <c r="P7" s="434">
        <f t="shared" si="3"/>
        <v>0</v>
      </c>
      <c r="Q7" s="434">
        <f t="shared" si="4"/>
        <v>0</v>
      </c>
      <c r="R7" s="413">
        <f t="shared" si="5"/>
        <v>0</v>
      </c>
      <c r="S7" s="413">
        <f t="shared" ca="1" si="6"/>
        <v>2021</v>
      </c>
      <c r="T7" s="212"/>
      <c r="U7" s="417"/>
      <c r="V7" s="435">
        <v>0.88500000000000001</v>
      </c>
      <c r="W7" s="435">
        <f t="shared" si="7"/>
        <v>1.4999999999999999E-2</v>
      </c>
      <c r="X7" s="435">
        <f t="shared" si="8"/>
        <v>1.7249999999999998E-3</v>
      </c>
      <c r="Y7" s="413" t="str">
        <f t="shared" si="9"/>
        <v/>
      </c>
      <c r="Z7" s="418"/>
      <c r="AA7" s="436" t="e">
        <f>HLOOKUP(T7,'Capital Rates'!$A$37:$F$48,12,FALSE)</f>
        <v>#N/A</v>
      </c>
      <c r="AB7" s="419" t="e">
        <f>VLOOKUP(R7,'Capital Rates'!$A$18:$F$47,Fleet!$AA7,FALSE)</f>
        <v>#REF!</v>
      </c>
      <c r="AC7" s="419" t="e">
        <f t="shared" si="10"/>
        <v>#REF!</v>
      </c>
      <c r="AD7" s="419" t="e">
        <f t="shared" si="11"/>
        <v>#REF!</v>
      </c>
      <c r="AE7" s="439" t="e">
        <f t="shared" si="12"/>
        <v>#VALUE!</v>
      </c>
      <c r="AF7" s="438" t="str">
        <f t="shared" si="13"/>
        <v/>
      </c>
    </row>
    <row r="8" spans="1:32" s="401" customFormat="1" ht="15" x14ac:dyDescent="0.2">
      <c r="A8" s="335"/>
      <c r="B8" s="212" t="s">
        <v>273</v>
      </c>
      <c r="C8" s="212" t="s">
        <v>40</v>
      </c>
      <c r="D8" s="414"/>
      <c r="E8" s="212"/>
      <c r="F8" s="412"/>
      <c r="G8" s="412"/>
      <c r="H8" s="415"/>
      <c r="I8" s="212"/>
      <c r="J8" s="412"/>
      <c r="K8" s="412"/>
      <c r="L8" s="212"/>
      <c r="M8" s="433" t="str">
        <f t="shared" si="0"/>
        <v/>
      </c>
      <c r="N8" s="434" t="e">
        <f t="shared" si="1"/>
        <v>#VALUE!</v>
      </c>
      <c r="O8" s="434" t="e">
        <f t="shared" si="2"/>
        <v>#VALUE!</v>
      </c>
      <c r="P8" s="434">
        <f t="shared" si="3"/>
        <v>0</v>
      </c>
      <c r="Q8" s="434">
        <f t="shared" si="4"/>
        <v>0</v>
      </c>
      <c r="R8" s="413">
        <f t="shared" si="5"/>
        <v>0</v>
      </c>
      <c r="S8" s="413">
        <f t="shared" ca="1" si="6"/>
        <v>2021</v>
      </c>
      <c r="T8" s="212"/>
      <c r="U8" s="417"/>
      <c r="V8" s="435">
        <v>0.88500000000000001</v>
      </c>
      <c r="W8" s="435">
        <f t="shared" si="7"/>
        <v>1.4999999999999999E-2</v>
      </c>
      <c r="X8" s="435">
        <f t="shared" si="8"/>
        <v>1.7249999999999998E-3</v>
      </c>
      <c r="Y8" s="413" t="str">
        <f t="shared" si="9"/>
        <v/>
      </c>
      <c r="Z8" s="418"/>
      <c r="AA8" s="436" t="e">
        <f>HLOOKUP(T8,'Capital Rates'!$A$37:$F$48,12,FALSE)</f>
        <v>#N/A</v>
      </c>
      <c r="AB8" s="419" t="e">
        <f>VLOOKUP(R8,'Capital Rates'!$A$18:$F$47,Fleet!$AA8,FALSE)</f>
        <v>#REF!</v>
      </c>
      <c r="AC8" s="419" t="e">
        <f t="shared" si="10"/>
        <v>#REF!</v>
      </c>
      <c r="AD8" s="419" t="e">
        <f t="shared" si="11"/>
        <v>#REF!</v>
      </c>
      <c r="AE8" s="439" t="e">
        <f t="shared" si="12"/>
        <v>#VALUE!</v>
      </c>
      <c r="AF8" s="438" t="str">
        <f t="shared" si="13"/>
        <v/>
      </c>
    </row>
    <row r="9" spans="1:32" s="401" customFormat="1" ht="15" x14ac:dyDescent="0.2">
      <c r="A9" s="335"/>
      <c r="B9" s="212" t="s">
        <v>273</v>
      </c>
      <c r="C9" s="212" t="s">
        <v>40</v>
      </c>
      <c r="D9" s="414"/>
      <c r="E9" s="212"/>
      <c r="F9" s="412"/>
      <c r="G9" s="412"/>
      <c r="H9" s="415"/>
      <c r="I9" s="212"/>
      <c r="J9" s="412"/>
      <c r="K9" s="412"/>
      <c r="L9" s="212"/>
      <c r="M9" s="433" t="str">
        <f t="shared" si="0"/>
        <v/>
      </c>
      <c r="N9" s="434" t="e">
        <f t="shared" si="1"/>
        <v>#VALUE!</v>
      </c>
      <c r="O9" s="434" t="e">
        <f t="shared" si="2"/>
        <v>#VALUE!</v>
      </c>
      <c r="P9" s="434">
        <f t="shared" si="3"/>
        <v>0</v>
      </c>
      <c r="Q9" s="434">
        <f t="shared" si="4"/>
        <v>0</v>
      </c>
      <c r="R9" s="413">
        <f t="shared" si="5"/>
        <v>0</v>
      </c>
      <c r="S9" s="413">
        <f t="shared" ca="1" si="6"/>
        <v>2021</v>
      </c>
      <c r="T9" s="212"/>
      <c r="U9" s="417"/>
      <c r="V9" s="435">
        <v>0.88500000000000001</v>
      </c>
      <c r="W9" s="435">
        <f t="shared" si="7"/>
        <v>1.4999999999999999E-2</v>
      </c>
      <c r="X9" s="435">
        <f t="shared" si="8"/>
        <v>1.7249999999999998E-3</v>
      </c>
      <c r="Y9" s="413" t="str">
        <f t="shared" si="9"/>
        <v/>
      </c>
      <c r="Z9" s="418"/>
      <c r="AA9" s="436" t="e">
        <f>HLOOKUP(T9,'Capital Rates'!$A$37:$F$48,12,FALSE)</f>
        <v>#N/A</v>
      </c>
      <c r="AB9" s="419" t="e">
        <f>VLOOKUP(R9,'Capital Rates'!$A$18:$F$47,Fleet!$AA9,FALSE)</f>
        <v>#REF!</v>
      </c>
      <c r="AC9" s="419" t="e">
        <f t="shared" si="10"/>
        <v>#REF!</v>
      </c>
      <c r="AD9" s="419" t="e">
        <f t="shared" si="11"/>
        <v>#REF!</v>
      </c>
      <c r="AE9" s="439" t="e">
        <f t="shared" si="12"/>
        <v>#VALUE!</v>
      </c>
      <c r="AF9" s="438" t="str">
        <f t="shared" si="13"/>
        <v/>
      </c>
    </row>
    <row r="10" spans="1:32" s="401" customFormat="1" ht="15" x14ac:dyDescent="0.2">
      <c r="A10" s="335"/>
      <c r="B10" s="212" t="s">
        <v>273</v>
      </c>
      <c r="C10" s="212" t="s">
        <v>40</v>
      </c>
      <c r="D10" s="414"/>
      <c r="E10" s="212"/>
      <c r="F10" s="412"/>
      <c r="G10" s="412"/>
      <c r="H10" s="415"/>
      <c r="I10" s="212"/>
      <c r="J10" s="412"/>
      <c r="K10" s="412"/>
      <c r="L10" s="212"/>
      <c r="M10" s="433" t="str">
        <f t="shared" si="0"/>
        <v/>
      </c>
      <c r="N10" s="434" t="e">
        <f t="shared" si="1"/>
        <v>#VALUE!</v>
      </c>
      <c r="O10" s="434" t="e">
        <f t="shared" si="2"/>
        <v>#VALUE!</v>
      </c>
      <c r="P10" s="434">
        <f t="shared" si="3"/>
        <v>0</v>
      </c>
      <c r="Q10" s="434">
        <f t="shared" si="4"/>
        <v>0</v>
      </c>
      <c r="R10" s="413">
        <f t="shared" si="5"/>
        <v>0</v>
      </c>
      <c r="S10" s="413">
        <f t="shared" ca="1" si="6"/>
        <v>2021</v>
      </c>
      <c r="T10" s="212"/>
      <c r="U10" s="417"/>
      <c r="V10" s="435">
        <v>0.88500000000000001</v>
      </c>
      <c r="W10" s="435">
        <f t="shared" si="7"/>
        <v>1.4999999999999999E-2</v>
      </c>
      <c r="X10" s="435">
        <f t="shared" si="8"/>
        <v>1.7249999999999998E-3</v>
      </c>
      <c r="Y10" s="413" t="str">
        <f t="shared" si="9"/>
        <v/>
      </c>
      <c r="Z10" s="418"/>
      <c r="AA10" s="436" t="e">
        <f>HLOOKUP(T10,'Capital Rates'!$A$37:$F$48,12,FALSE)</f>
        <v>#N/A</v>
      </c>
      <c r="AB10" s="419" t="e">
        <f>VLOOKUP(R10,'Capital Rates'!$A$18:$F$47,Fleet!$AA10,FALSE)</f>
        <v>#REF!</v>
      </c>
      <c r="AC10" s="419" t="e">
        <f t="shared" si="10"/>
        <v>#REF!</v>
      </c>
      <c r="AD10" s="419" t="e">
        <f t="shared" si="11"/>
        <v>#REF!</v>
      </c>
      <c r="AE10" s="439" t="e">
        <f t="shared" si="12"/>
        <v>#VALUE!</v>
      </c>
      <c r="AF10" s="438" t="str">
        <f t="shared" si="13"/>
        <v/>
      </c>
    </row>
    <row r="11" spans="1:32" s="401" customFormat="1" ht="15" x14ac:dyDescent="0.2">
      <c r="A11" s="335"/>
      <c r="B11" s="212" t="s">
        <v>273</v>
      </c>
      <c r="C11" s="212" t="s">
        <v>40</v>
      </c>
      <c r="D11" s="414"/>
      <c r="E11" s="212"/>
      <c r="F11" s="412"/>
      <c r="G11" s="412"/>
      <c r="H11" s="415"/>
      <c r="I11" s="212"/>
      <c r="J11" s="412"/>
      <c r="K11" s="412"/>
      <c r="L11" s="212"/>
      <c r="M11" s="433" t="str">
        <f t="shared" si="0"/>
        <v/>
      </c>
      <c r="N11" s="434" t="e">
        <f t="shared" si="1"/>
        <v>#VALUE!</v>
      </c>
      <c r="O11" s="434" t="e">
        <f t="shared" si="2"/>
        <v>#VALUE!</v>
      </c>
      <c r="P11" s="434">
        <f t="shared" si="3"/>
        <v>0</v>
      </c>
      <c r="Q11" s="434">
        <f t="shared" si="4"/>
        <v>0</v>
      </c>
      <c r="R11" s="413">
        <f t="shared" si="5"/>
        <v>0</v>
      </c>
      <c r="S11" s="413">
        <f t="shared" ca="1" si="6"/>
        <v>2021</v>
      </c>
      <c r="T11" s="212"/>
      <c r="U11" s="417"/>
      <c r="V11" s="435">
        <v>0.88500000000000001</v>
      </c>
      <c r="W11" s="435">
        <f t="shared" si="7"/>
        <v>1.4999999999999999E-2</v>
      </c>
      <c r="X11" s="435">
        <f t="shared" si="8"/>
        <v>1.7249999999999998E-3</v>
      </c>
      <c r="Y11" s="413" t="str">
        <f t="shared" si="9"/>
        <v/>
      </c>
      <c r="Z11" s="418"/>
      <c r="AA11" s="436" t="e">
        <f>HLOOKUP(T11,'Capital Rates'!$A$37:$F$48,12,FALSE)</f>
        <v>#N/A</v>
      </c>
      <c r="AB11" s="419" t="e">
        <f>VLOOKUP(R11,'Capital Rates'!$A$18:$F$47,Fleet!$AA11,FALSE)</f>
        <v>#REF!</v>
      </c>
      <c r="AC11" s="419" t="e">
        <f t="shared" si="10"/>
        <v>#REF!</v>
      </c>
      <c r="AD11" s="419" t="e">
        <f t="shared" si="11"/>
        <v>#REF!</v>
      </c>
      <c r="AE11" s="439" t="e">
        <f t="shared" si="12"/>
        <v>#VALUE!</v>
      </c>
      <c r="AF11" s="438" t="str">
        <f t="shared" si="13"/>
        <v/>
      </c>
    </row>
    <row r="12" spans="1:32" s="401" customFormat="1" ht="15" x14ac:dyDescent="0.2">
      <c r="A12" s="335"/>
      <c r="B12" s="212" t="s">
        <v>273</v>
      </c>
      <c r="C12" s="212" t="s">
        <v>40</v>
      </c>
      <c r="D12" s="414"/>
      <c r="E12" s="212"/>
      <c r="F12" s="412"/>
      <c r="G12" s="412"/>
      <c r="H12" s="415"/>
      <c r="I12" s="212"/>
      <c r="J12" s="412"/>
      <c r="K12" s="412"/>
      <c r="L12" s="212"/>
      <c r="M12" s="433" t="str">
        <f t="shared" si="0"/>
        <v/>
      </c>
      <c r="N12" s="434" t="e">
        <f t="shared" si="1"/>
        <v>#VALUE!</v>
      </c>
      <c r="O12" s="434" t="e">
        <f t="shared" si="2"/>
        <v>#VALUE!</v>
      </c>
      <c r="P12" s="434">
        <f t="shared" si="3"/>
        <v>0</v>
      </c>
      <c r="Q12" s="434">
        <f t="shared" si="4"/>
        <v>0</v>
      </c>
      <c r="R12" s="413">
        <f t="shared" si="5"/>
        <v>0</v>
      </c>
      <c r="S12" s="413">
        <f t="shared" ca="1" si="6"/>
        <v>2021</v>
      </c>
      <c r="T12" s="212"/>
      <c r="U12" s="417"/>
      <c r="V12" s="435">
        <v>0.88500000000000001</v>
      </c>
      <c r="W12" s="435">
        <f t="shared" si="7"/>
        <v>1.4999999999999999E-2</v>
      </c>
      <c r="X12" s="435">
        <f t="shared" si="8"/>
        <v>1.7249999999999998E-3</v>
      </c>
      <c r="Y12" s="413" t="str">
        <f t="shared" si="9"/>
        <v/>
      </c>
      <c r="Z12" s="418"/>
      <c r="AA12" s="436" t="e">
        <f>HLOOKUP(T12,'Capital Rates'!$A$37:$F$48,12,FALSE)</f>
        <v>#N/A</v>
      </c>
      <c r="AB12" s="419" t="e">
        <f>VLOOKUP(R12,'Capital Rates'!$A$18:$F$47,Fleet!$AA12,FALSE)</f>
        <v>#REF!</v>
      </c>
      <c r="AC12" s="419" t="e">
        <f t="shared" si="10"/>
        <v>#REF!</v>
      </c>
      <c r="AD12" s="419" t="e">
        <f t="shared" si="11"/>
        <v>#REF!</v>
      </c>
      <c r="AE12" s="439" t="e">
        <f t="shared" si="12"/>
        <v>#VALUE!</v>
      </c>
      <c r="AF12" s="438" t="str">
        <f t="shared" si="13"/>
        <v/>
      </c>
    </row>
    <row r="13" spans="1:32" s="401" customFormat="1" ht="15" x14ac:dyDescent="0.2">
      <c r="A13" s="335"/>
      <c r="B13" s="212" t="s">
        <v>273</v>
      </c>
      <c r="C13" s="212" t="s">
        <v>40</v>
      </c>
      <c r="D13" s="414"/>
      <c r="E13" s="212"/>
      <c r="F13" s="412"/>
      <c r="G13" s="412"/>
      <c r="H13" s="415"/>
      <c r="I13" s="212"/>
      <c r="J13" s="412"/>
      <c r="K13" s="412"/>
      <c r="L13" s="212"/>
      <c r="M13" s="433" t="str">
        <f t="shared" si="0"/>
        <v/>
      </c>
      <c r="N13" s="434" t="e">
        <f t="shared" si="1"/>
        <v>#VALUE!</v>
      </c>
      <c r="O13" s="434" t="e">
        <f t="shared" si="2"/>
        <v>#VALUE!</v>
      </c>
      <c r="P13" s="434">
        <f t="shared" si="3"/>
        <v>0</v>
      </c>
      <c r="Q13" s="434">
        <f t="shared" si="4"/>
        <v>0</v>
      </c>
      <c r="R13" s="413">
        <f t="shared" si="5"/>
        <v>0</v>
      </c>
      <c r="S13" s="413">
        <f t="shared" ca="1" si="6"/>
        <v>2021</v>
      </c>
      <c r="T13" s="212"/>
      <c r="U13" s="417"/>
      <c r="V13" s="435">
        <v>0.88500000000000001</v>
      </c>
      <c r="W13" s="435">
        <f t="shared" si="7"/>
        <v>1.4999999999999999E-2</v>
      </c>
      <c r="X13" s="435">
        <f t="shared" si="8"/>
        <v>1.7249999999999998E-3</v>
      </c>
      <c r="Y13" s="413" t="str">
        <f t="shared" si="9"/>
        <v/>
      </c>
      <c r="Z13" s="418"/>
      <c r="AA13" s="436" t="e">
        <f>HLOOKUP(T13,'Capital Rates'!$A$37:$F$48,12,FALSE)</f>
        <v>#N/A</v>
      </c>
      <c r="AB13" s="419" t="e">
        <f>VLOOKUP(R13,'Capital Rates'!$A$18:$F$47,Fleet!$AA13,FALSE)</f>
        <v>#REF!</v>
      </c>
      <c r="AC13" s="419" t="e">
        <f t="shared" si="10"/>
        <v>#REF!</v>
      </c>
      <c r="AD13" s="419" t="e">
        <f t="shared" si="11"/>
        <v>#REF!</v>
      </c>
      <c r="AE13" s="439" t="e">
        <f t="shared" si="12"/>
        <v>#VALUE!</v>
      </c>
      <c r="AF13" s="438" t="str">
        <f t="shared" si="13"/>
        <v/>
      </c>
    </row>
    <row r="14" spans="1:32" s="401" customFormat="1" ht="15" x14ac:dyDescent="0.2">
      <c r="A14" s="335"/>
      <c r="B14" s="212" t="s">
        <v>273</v>
      </c>
      <c r="C14" s="212" t="s">
        <v>40</v>
      </c>
      <c r="D14" s="414"/>
      <c r="E14" s="212"/>
      <c r="F14" s="412"/>
      <c r="G14" s="412"/>
      <c r="H14" s="415"/>
      <c r="I14" s="212"/>
      <c r="J14" s="412"/>
      <c r="K14" s="412"/>
      <c r="L14" s="212"/>
      <c r="M14" s="433" t="str">
        <f t="shared" si="0"/>
        <v/>
      </c>
      <c r="N14" s="434" t="e">
        <f t="shared" si="1"/>
        <v>#VALUE!</v>
      </c>
      <c r="O14" s="434" t="e">
        <f t="shared" si="2"/>
        <v>#VALUE!</v>
      </c>
      <c r="P14" s="434">
        <f t="shared" si="3"/>
        <v>0</v>
      </c>
      <c r="Q14" s="434">
        <f t="shared" si="4"/>
        <v>0</v>
      </c>
      <c r="R14" s="413">
        <f t="shared" si="5"/>
        <v>0</v>
      </c>
      <c r="S14" s="413">
        <f t="shared" ca="1" si="6"/>
        <v>2021</v>
      </c>
      <c r="T14" s="212"/>
      <c r="U14" s="417"/>
      <c r="V14" s="435">
        <v>0.88500000000000001</v>
      </c>
      <c r="W14" s="435">
        <f t="shared" si="7"/>
        <v>1.4999999999999999E-2</v>
      </c>
      <c r="X14" s="435">
        <f t="shared" si="8"/>
        <v>1.7249999999999998E-3</v>
      </c>
      <c r="Y14" s="413" t="str">
        <f t="shared" si="9"/>
        <v/>
      </c>
      <c r="Z14" s="418"/>
      <c r="AA14" s="436" t="e">
        <f>HLOOKUP(T14,'Capital Rates'!$A$37:$F$48,12,FALSE)</f>
        <v>#N/A</v>
      </c>
      <c r="AB14" s="419" t="e">
        <f>VLOOKUP(R14,'Capital Rates'!$A$18:$F$47,Fleet!$AA14,FALSE)</f>
        <v>#REF!</v>
      </c>
      <c r="AC14" s="419" t="e">
        <f t="shared" si="10"/>
        <v>#REF!</v>
      </c>
      <c r="AD14" s="419" t="e">
        <f t="shared" si="11"/>
        <v>#REF!</v>
      </c>
      <c r="AE14" s="439" t="e">
        <f t="shared" si="12"/>
        <v>#VALUE!</v>
      </c>
      <c r="AF14" s="438" t="str">
        <f t="shared" si="13"/>
        <v/>
      </c>
    </row>
    <row r="15" spans="1:32" s="401" customFormat="1" ht="15" x14ac:dyDescent="0.2">
      <c r="A15" s="335"/>
      <c r="B15" s="212" t="s">
        <v>273</v>
      </c>
      <c r="C15" s="212" t="s">
        <v>40</v>
      </c>
      <c r="D15" s="414"/>
      <c r="E15" s="212"/>
      <c r="F15" s="412"/>
      <c r="G15" s="412"/>
      <c r="H15" s="415"/>
      <c r="I15" s="212"/>
      <c r="J15" s="412"/>
      <c r="K15" s="412"/>
      <c r="L15" s="212"/>
      <c r="M15" s="433" t="str">
        <f t="shared" si="0"/>
        <v/>
      </c>
      <c r="N15" s="434" t="e">
        <f t="shared" si="1"/>
        <v>#VALUE!</v>
      </c>
      <c r="O15" s="434" t="e">
        <f t="shared" si="2"/>
        <v>#VALUE!</v>
      </c>
      <c r="P15" s="434">
        <f t="shared" si="3"/>
        <v>0</v>
      </c>
      <c r="Q15" s="434">
        <f t="shared" si="4"/>
        <v>0</v>
      </c>
      <c r="R15" s="413">
        <f t="shared" si="5"/>
        <v>0</v>
      </c>
      <c r="S15" s="413">
        <f t="shared" ca="1" si="6"/>
        <v>2021</v>
      </c>
      <c r="T15" s="212"/>
      <c r="U15" s="417"/>
      <c r="V15" s="435">
        <v>0.88500000000000001</v>
      </c>
      <c r="W15" s="435">
        <f t="shared" si="7"/>
        <v>1.4999999999999999E-2</v>
      </c>
      <c r="X15" s="435">
        <f t="shared" si="8"/>
        <v>1.7249999999999998E-3</v>
      </c>
      <c r="Y15" s="413" t="str">
        <f t="shared" si="9"/>
        <v/>
      </c>
      <c r="Z15" s="418"/>
      <c r="AA15" s="436" t="e">
        <f>HLOOKUP(T15,'Capital Rates'!$A$37:$F$48,12,FALSE)</f>
        <v>#N/A</v>
      </c>
      <c r="AB15" s="419" t="e">
        <f>VLOOKUP(R15,'Capital Rates'!$A$18:$F$47,Fleet!$AA15,FALSE)</f>
        <v>#REF!</v>
      </c>
      <c r="AC15" s="419" t="e">
        <f t="shared" si="10"/>
        <v>#REF!</v>
      </c>
      <c r="AD15" s="419" t="e">
        <f t="shared" si="11"/>
        <v>#REF!</v>
      </c>
      <c r="AE15" s="439" t="e">
        <f t="shared" si="12"/>
        <v>#VALUE!</v>
      </c>
      <c r="AF15" s="438" t="str">
        <f t="shared" si="13"/>
        <v/>
      </c>
    </row>
    <row r="16" spans="1:32" s="401" customFormat="1" ht="15" x14ac:dyDescent="0.2">
      <c r="A16" s="335"/>
      <c r="B16" s="212" t="s">
        <v>273</v>
      </c>
      <c r="C16" s="212" t="s">
        <v>40</v>
      </c>
      <c r="D16" s="414"/>
      <c r="E16" s="212"/>
      <c r="F16" s="412"/>
      <c r="G16" s="412"/>
      <c r="H16" s="415"/>
      <c r="I16" s="212"/>
      <c r="J16" s="412"/>
      <c r="K16" s="412"/>
      <c r="L16" s="212"/>
      <c r="M16" s="433" t="str">
        <f t="shared" si="0"/>
        <v/>
      </c>
      <c r="N16" s="434" t="e">
        <f t="shared" si="1"/>
        <v>#VALUE!</v>
      </c>
      <c r="O16" s="434" t="e">
        <f t="shared" si="2"/>
        <v>#VALUE!</v>
      </c>
      <c r="P16" s="434">
        <f t="shared" si="3"/>
        <v>0</v>
      </c>
      <c r="Q16" s="434">
        <f t="shared" si="4"/>
        <v>0</v>
      </c>
      <c r="R16" s="413">
        <f t="shared" si="5"/>
        <v>0</v>
      </c>
      <c r="S16" s="413">
        <f t="shared" ca="1" si="6"/>
        <v>2021</v>
      </c>
      <c r="T16" s="212"/>
      <c r="U16" s="417"/>
      <c r="V16" s="435">
        <v>0.88500000000000001</v>
      </c>
      <c r="W16" s="435">
        <f t="shared" si="7"/>
        <v>1.4999999999999999E-2</v>
      </c>
      <c r="X16" s="435">
        <f t="shared" si="8"/>
        <v>1.7249999999999998E-3</v>
      </c>
      <c r="Y16" s="413" t="str">
        <f t="shared" si="9"/>
        <v/>
      </c>
      <c r="Z16" s="418"/>
      <c r="AA16" s="436" t="e">
        <f>HLOOKUP(T16,'Capital Rates'!$A$37:$F$48,12,FALSE)</f>
        <v>#N/A</v>
      </c>
      <c r="AB16" s="419" t="e">
        <f>VLOOKUP(R16,'Capital Rates'!$A$18:$F$47,Fleet!$AA16,FALSE)</f>
        <v>#REF!</v>
      </c>
      <c r="AC16" s="419" t="e">
        <f t="shared" si="10"/>
        <v>#REF!</v>
      </c>
      <c r="AD16" s="419" t="e">
        <f t="shared" si="11"/>
        <v>#REF!</v>
      </c>
      <c r="AE16" s="439" t="e">
        <f t="shared" si="12"/>
        <v>#VALUE!</v>
      </c>
      <c r="AF16" s="438" t="str">
        <f t="shared" si="13"/>
        <v/>
      </c>
    </row>
    <row r="17" spans="1:32" s="401" customFormat="1" ht="15" x14ac:dyDescent="0.2">
      <c r="A17" s="335"/>
      <c r="B17" s="212" t="s">
        <v>273</v>
      </c>
      <c r="C17" s="212" t="s">
        <v>40</v>
      </c>
      <c r="D17" s="414"/>
      <c r="E17" s="212"/>
      <c r="F17" s="412"/>
      <c r="G17" s="412"/>
      <c r="H17" s="415"/>
      <c r="I17" s="212"/>
      <c r="J17" s="412"/>
      <c r="K17" s="412"/>
      <c r="L17" s="212"/>
      <c r="M17" s="433" t="str">
        <f t="shared" si="0"/>
        <v/>
      </c>
      <c r="N17" s="434" t="e">
        <f t="shared" si="1"/>
        <v>#VALUE!</v>
      </c>
      <c r="O17" s="434" t="e">
        <f t="shared" si="2"/>
        <v>#VALUE!</v>
      </c>
      <c r="P17" s="434">
        <f t="shared" si="3"/>
        <v>0</v>
      </c>
      <c r="Q17" s="434">
        <f t="shared" si="4"/>
        <v>0</v>
      </c>
      <c r="R17" s="413">
        <f t="shared" si="5"/>
        <v>0</v>
      </c>
      <c r="S17" s="413">
        <f t="shared" ca="1" si="6"/>
        <v>2021</v>
      </c>
      <c r="T17" s="212"/>
      <c r="U17" s="417"/>
      <c r="V17" s="435">
        <v>0.88500000000000001</v>
      </c>
      <c r="W17" s="435">
        <f t="shared" si="7"/>
        <v>1.4999999999999999E-2</v>
      </c>
      <c r="X17" s="435">
        <f t="shared" si="8"/>
        <v>1.7249999999999998E-3</v>
      </c>
      <c r="Y17" s="413" t="str">
        <f t="shared" si="9"/>
        <v/>
      </c>
      <c r="Z17" s="418"/>
      <c r="AA17" s="436" t="e">
        <f>HLOOKUP(T17,'Capital Rates'!$A$37:$F$48,12,FALSE)</f>
        <v>#N/A</v>
      </c>
      <c r="AB17" s="419" t="e">
        <f>VLOOKUP(R17,'Capital Rates'!$A$18:$F$47,Fleet!$AA17,FALSE)</f>
        <v>#REF!</v>
      </c>
      <c r="AC17" s="419" t="e">
        <f t="shared" si="10"/>
        <v>#REF!</v>
      </c>
      <c r="AD17" s="419" t="e">
        <f t="shared" si="11"/>
        <v>#REF!</v>
      </c>
      <c r="AE17" s="439" t="e">
        <f t="shared" si="12"/>
        <v>#VALUE!</v>
      </c>
      <c r="AF17" s="438" t="str">
        <f t="shared" si="13"/>
        <v/>
      </c>
    </row>
    <row r="18" spans="1:32" s="401" customFormat="1" ht="15" x14ac:dyDescent="0.2">
      <c r="A18" s="335"/>
      <c r="B18" s="212" t="s">
        <v>273</v>
      </c>
      <c r="C18" s="212" t="s">
        <v>40</v>
      </c>
      <c r="D18" s="414"/>
      <c r="E18" s="212"/>
      <c r="F18" s="412"/>
      <c r="G18" s="412"/>
      <c r="H18" s="415"/>
      <c r="I18" s="212"/>
      <c r="J18" s="412"/>
      <c r="K18" s="412"/>
      <c r="L18" s="212"/>
      <c r="M18" s="433" t="str">
        <f t="shared" si="0"/>
        <v/>
      </c>
      <c r="N18" s="434" t="e">
        <f t="shared" si="1"/>
        <v>#VALUE!</v>
      </c>
      <c r="O18" s="434" t="e">
        <f t="shared" si="2"/>
        <v>#VALUE!</v>
      </c>
      <c r="P18" s="434">
        <f t="shared" si="3"/>
        <v>0</v>
      </c>
      <c r="Q18" s="434">
        <f t="shared" si="4"/>
        <v>0</v>
      </c>
      <c r="R18" s="413">
        <f t="shared" si="5"/>
        <v>0</v>
      </c>
      <c r="S18" s="413">
        <f t="shared" ca="1" si="6"/>
        <v>2021</v>
      </c>
      <c r="T18" s="212"/>
      <c r="U18" s="417"/>
      <c r="V18" s="435">
        <v>0.88500000000000001</v>
      </c>
      <c r="W18" s="435">
        <f t="shared" si="7"/>
        <v>1.4999999999999999E-2</v>
      </c>
      <c r="X18" s="435">
        <f t="shared" si="8"/>
        <v>1.7249999999999998E-3</v>
      </c>
      <c r="Y18" s="413" t="str">
        <f t="shared" si="9"/>
        <v/>
      </c>
      <c r="Z18" s="418"/>
      <c r="AA18" s="436" t="e">
        <f>HLOOKUP(T18,'Capital Rates'!$A$37:$F$48,12,FALSE)</f>
        <v>#N/A</v>
      </c>
      <c r="AB18" s="419" t="e">
        <f>VLOOKUP(R18,'Capital Rates'!$A$18:$F$47,Fleet!$AA18,FALSE)</f>
        <v>#REF!</v>
      </c>
      <c r="AC18" s="419" t="e">
        <f t="shared" si="10"/>
        <v>#REF!</v>
      </c>
      <c r="AD18" s="419" t="e">
        <f t="shared" si="11"/>
        <v>#REF!</v>
      </c>
      <c r="AE18" s="439" t="e">
        <f t="shared" si="12"/>
        <v>#VALUE!</v>
      </c>
      <c r="AF18" s="438" t="str">
        <f t="shared" si="13"/>
        <v/>
      </c>
    </row>
    <row r="19" spans="1:32" s="401" customFormat="1" ht="15" x14ac:dyDescent="0.2">
      <c r="A19" s="335"/>
      <c r="B19" s="212" t="s">
        <v>273</v>
      </c>
      <c r="C19" s="212" t="s">
        <v>40</v>
      </c>
      <c r="D19" s="414"/>
      <c r="E19" s="212"/>
      <c r="F19" s="412"/>
      <c r="G19" s="412"/>
      <c r="H19" s="415"/>
      <c r="I19" s="212"/>
      <c r="J19" s="412"/>
      <c r="K19" s="412"/>
      <c r="L19" s="212"/>
      <c r="M19" s="433" t="str">
        <f t="shared" si="0"/>
        <v/>
      </c>
      <c r="N19" s="434" t="e">
        <f t="shared" si="1"/>
        <v>#VALUE!</v>
      </c>
      <c r="O19" s="434" t="e">
        <f t="shared" si="2"/>
        <v>#VALUE!</v>
      </c>
      <c r="P19" s="434">
        <f t="shared" si="3"/>
        <v>0</v>
      </c>
      <c r="Q19" s="434">
        <f t="shared" si="4"/>
        <v>0</v>
      </c>
      <c r="R19" s="413">
        <f t="shared" si="5"/>
        <v>0</v>
      </c>
      <c r="S19" s="413">
        <f t="shared" ca="1" si="6"/>
        <v>2021</v>
      </c>
      <c r="T19" s="212"/>
      <c r="U19" s="417"/>
      <c r="V19" s="435">
        <v>0.88500000000000001</v>
      </c>
      <c r="W19" s="435">
        <f t="shared" si="7"/>
        <v>1.4999999999999999E-2</v>
      </c>
      <c r="X19" s="435">
        <f t="shared" si="8"/>
        <v>1.7249999999999998E-3</v>
      </c>
      <c r="Y19" s="413" t="str">
        <f t="shared" si="9"/>
        <v/>
      </c>
      <c r="Z19" s="418"/>
      <c r="AA19" s="436" t="e">
        <f>HLOOKUP(T19,'Capital Rates'!$A$37:$F$48,12,FALSE)</f>
        <v>#N/A</v>
      </c>
      <c r="AB19" s="419" t="e">
        <f>VLOOKUP(R19,'Capital Rates'!$A$18:$F$47,Fleet!$AA19,FALSE)</f>
        <v>#REF!</v>
      </c>
      <c r="AC19" s="419" t="e">
        <f t="shared" si="10"/>
        <v>#REF!</v>
      </c>
      <c r="AD19" s="419" t="e">
        <f t="shared" si="11"/>
        <v>#REF!</v>
      </c>
      <c r="AE19" s="439" t="e">
        <f t="shared" si="12"/>
        <v>#VALUE!</v>
      </c>
      <c r="AF19" s="438" t="str">
        <f t="shared" si="13"/>
        <v/>
      </c>
    </row>
    <row r="20" spans="1:32" s="401" customFormat="1" ht="15" x14ac:dyDescent="0.2">
      <c r="A20" s="335"/>
      <c r="B20" s="212" t="s">
        <v>274</v>
      </c>
      <c r="C20" s="212" t="s">
        <v>40</v>
      </c>
      <c r="D20" s="414"/>
      <c r="E20" s="212"/>
      <c r="F20" s="412"/>
      <c r="G20" s="412"/>
      <c r="H20" s="415"/>
      <c r="I20" s="212"/>
      <c r="J20" s="412"/>
      <c r="K20" s="412"/>
      <c r="L20" s="212"/>
      <c r="M20" s="433" t="str">
        <f t="shared" si="0"/>
        <v/>
      </c>
      <c r="N20" s="434" t="e">
        <f t="shared" si="1"/>
        <v>#VALUE!</v>
      </c>
      <c r="O20" s="434" t="e">
        <f t="shared" si="2"/>
        <v>#VALUE!</v>
      </c>
      <c r="P20" s="434">
        <f t="shared" si="3"/>
        <v>0</v>
      </c>
      <c r="Q20" s="434">
        <f t="shared" si="4"/>
        <v>0</v>
      </c>
      <c r="R20" s="413">
        <f t="shared" si="5"/>
        <v>0</v>
      </c>
      <c r="S20" s="413">
        <f t="shared" ca="1" si="6"/>
        <v>2021</v>
      </c>
      <c r="T20" s="212"/>
      <c r="U20" s="417"/>
      <c r="V20" s="435">
        <v>0.88500000000000001</v>
      </c>
      <c r="W20" s="435">
        <f t="shared" si="7"/>
        <v>1.4999999999999999E-2</v>
      </c>
      <c r="X20" s="435">
        <f t="shared" si="8"/>
        <v>1.7249999999999998E-3</v>
      </c>
      <c r="Y20" s="413" t="str">
        <f t="shared" si="9"/>
        <v/>
      </c>
      <c r="Z20" s="418"/>
      <c r="AA20" s="436" t="e">
        <f>HLOOKUP(T20,'Capital Rates'!$A$37:$F$48,12,FALSE)</f>
        <v>#N/A</v>
      </c>
      <c r="AB20" s="419" t="e">
        <f>VLOOKUP(R20,'Capital Rates'!$A$18:$F$47,Fleet!$AA20,FALSE)</f>
        <v>#REF!</v>
      </c>
      <c r="AC20" s="419" t="e">
        <f t="shared" si="10"/>
        <v>#REF!</v>
      </c>
      <c r="AD20" s="419" t="e">
        <f t="shared" si="11"/>
        <v>#REF!</v>
      </c>
      <c r="AE20" s="439" t="e">
        <f t="shared" si="12"/>
        <v>#VALUE!</v>
      </c>
      <c r="AF20" s="438" t="str">
        <f t="shared" si="13"/>
        <v/>
      </c>
    </row>
    <row r="21" spans="1:32" s="401" customFormat="1" ht="15" x14ac:dyDescent="0.2">
      <c r="A21" s="335"/>
      <c r="B21" s="212" t="s">
        <v>274</v>
      </c>
      <c r="C21" s="212" t="s">
        <v>40</v>
      </c>
      <c r="D21" s="414"/>
      <c r="E21" s="212"/>
      <c r="F21" s="412"/>
      <c r="G21" s="412"/>
      <c r="H21" s="415"/>
      <c r="I21" s="212"/>
      <c r="J21" s="412"/>
      <c r="K21" s="412"/>
      <c r="L21" s="212"/>
      <c r="M21" s="433" t="str">
        <f t="shared" si="0"/>
        <v/>
      </c>
      <c r="N21" s="434" t="e">
        <f t="shared" si="1"/>
        <v>#VALUE!</v>
      </c>
      <c r="O21" s="434" t="e">
        <f t="shared" si="2"/>
        <v>#VALUE!</v>
      </c>
      <c r="P21" s="434">
        <f t="shared" si="3"/>
        <v>0</v>
      </c>
      <c r="Q21" s="434">
        <f t="shared" si="4"/>
        <v>0</v>
      </c>
      <c r="R21" s="413">
        <f t="shared" si="5"/>
        <v>0</v>
      </c>
      <c r="S21" s="413">
        <f t="shared" ca="1" si="6"/>
        <v>2021</v>
      </c>
      <c r="T21" s="212"/>
      <c r="U21" s="417"/>
      <c r="V21" s="435">
        <v>0.88500000000000001</v>
      </c>
      <c r="W21" s="435">
        <f t="shared" si="7"/>
        <v>1.4999999999999999E-2</v>
      </c>
      <c r="X21" s="435">
        <f t="shared" si="8"/>
        <v>1.7249999999999998E-3</v>
      </c>
      <c r="Y21" s="413" t="str">
        <f t="shared" si="9"/>
        <v/>
      </c>
      <c r="Z21" s="418"/>
      <c r="AA21" s="436" t="e">
        <f>HLOOKUP(T21,'Capital Rates'!$A$37:$F$48,12,FALSE)</f>
        <v>#N/A</v>
      </c>
      <c r="AB21" s="419" t="e">
        <f>VLOOKUP(R21,'Capital Rates'!$A$18:$F$47,Fleet!$AA21,FALSE)</f>
        <v>#REF!</v>
      </c>
      <c r="AC21" s="419" t="e">
        <f t="shared" si="10"/>
        <v>#REF!</v>
      </c>
      <c r="AD21" s="419" t="e">
        <f t="shared" si="11"/>
        <v>#REF!</v>
      </c>
      <c r="AE21" s="439" t="e">
        <f t="shared" si="12"/>
        <v>#VALUE!</v>
      </c>
      <c r="AF21" s="438" t="str">
        <f t="shared" si="13"/>
        <v/>
      </c>
    </row>
    <row r="22" spans="1:32" s="401" customFormat="1" ht="15" x14ac:dyDescent="0.2">
      <c r="A22" s="335"/>
      <c r="B22" s="212" t="s">
        <v>273</v>
      </c>
      <c r="C22" s="212" t="s">
        <v>40</v>
      </c>
      <c r="D22" s="414"/>
      <c r="E22" s="212"/>
      <c r="F22" s="412"/>
      <c r="G22" s="412"/>
      <c r="H22" s="415"/>
      <c r="I22" s="212"/>
      <c r="J22" s="412"/>
      <c r="K22" s="412"/>
      <c r="L22" s="212"/>
      <c r="M22" s="433" t="str">
        <f t="shared" si="0"/>
        <v/>
      </c>
      <c r="N22" s="434" t="e">
        <f t="shared" si="1"/>
        <v>#VALUE!</v>
      </c>
      <c r="O22" s="434" t="e">
        <f t="shared" si="2"/>
        <v>#VALUE!</v>
      </c>
      <c r="P22" s="434">
        <f t="shared" si="3"/>
        <v>0</v>
      </c>
      <c r="Q22" s="434">
        <f t="shared" si="4"/>
        <v>0</v>
      </c>
      <c r="R22" s="413">
        <f t="shared" si="5"/>
        <v>0</v>
      </c>
      <c r="S22" s="413">
        <f t="shared" ca="1" si="6"/>
        <v>2021</v>
      </c>
      <c r="T22" s="212"/>
      <c r="U22" s="417"/>
      <c r="V22" s="435">
        <v>0.88500000000000001</v>
      </c>
      <c r="W22" s="435">
        <f t="shared" si="7"/>
        <v>1.4999999999999999E-2</v>
      </c>
      <c r="X22" s="435">
        <f t="shared" si="8"/>
        <v>1.7249999999999998E-3</v>
      </c>
      <c r="Y22" s="413" t="str">
        <f t="shared" si="9"/>
        <v/>
      </c>
      <c r="Z22" s="418"/>
      <c r="AA22" s="436" t="e">
        <f>HLOOKUP(T22,'Capital Rates'!$A$37:$F$48,12,FALSE)</f>
        <v>#N/A</v>
      </c>
      <c r="AB22" s="419" t="e">
        <f>VLOOKUP(R22,'Capital Rates'!$A$18:$F$47,Fleet!$AA22,FALSE)</f>
        <v>#REF!</v>
      </c>
      <c r="AC22" s="419" t="e">
        <f t="shared" si="10"/>
        <v>#REF!</v>
      </c>
      <c r="AD22" s="419" t="e">
        <f t="shared" si="11"/>
        <v>#REF!</v>
      </c>
      <c r="AE22" s="439" t="e">
        <f t="shared" si="12"/>
        <v>#VALUE!</v>
      </c>
      <c r="AF22" s="438" t="str">
        <f t="shared" si="13"/>
        <v/>
      </c>
    </row>
    <row r="23" spans="1:32" s="401" customFormat="1" ht="15" x14ac:dyDescent="0.2">
      <c r="A23" s="335"/>
      <c r="B23" s="212" t="s">
        <v>273</v>
      </c>
      <c r="C23" s="212" t="s">
        <v>40</v>
      </c>
      <c r="D23" s="414"/>
      <c r="E23" s="212"/>
      <c r="F23" s="412"/>
      <c r="G23" s="412"/>
      <c r="H23" s="415"/>
      <c r="I23" s="212"/>
      <c r="J23" s="412"/>
      <c r="K23" s="412"/>
      <c r="L23" s="212"/>
      <c r="M23" s="433" t="str">
        <f t="shared" si="0"/>
        <v/>
      </c>
      <c r="N23" s="434" t="e">
        <f t="shared" si="1"/>
        <v>#VALUE!</v>
      </c>
      <c r="O23" s="434" t="e">
        <f t="shared" si="2"/>
        <v>#VALUE!</v>
      </c>
      <c r="P23" s="434">
        <f t="shared" si="3"/>
        <v>0</v>
      </c>
      <c r="Q23" s="434">
        <f t="shared" si="4"/>
        <v>0</v>
      </c>
      <c r="R23" s="413">
        <f t="shared" si="5"/>
        <v>0</v>
      </c>
      <c r="S23" s="413">
        <f t="shared" ca="1" si="6"/>
        <v>2021</v>
      </c>
      <c r="T23" s="212"/>
      <c r="U23" s="417"/>
      <c r="V23" s="435">
        <v>0.88500000000000001</v>
      </c>
      <c r="W23" s="435">
        <f t="shared" si="7"/>
        <v>1.4999999999999999E-2</v>
      </c>
      <c r="X23" s="435">
        <f t="shared" si="8"/>
        <v>1.7249999999999998E-3</v>
      </c>
      <c r="Y23" s="413" t="str">
        <f t="shared" si="9"/>
        <v/>
      </c>
      <c r="Z23" s="418"/>
      <c r="AA23" s="436" t="e">
        <f>HLOOKUP(T23,'Capital Rates'!$A$37:$F$48,12,FALSE)</f>
        <v>#N/A</v>
      </c>
      <c r="AB23" s="419" t="e">
        <f>VLOOKUP(R23,'Capital Rates'!$A$18:$F$47,Fleet!$AA23,FALSE)</f>
        <v>#REF!</v>
      </c>
      <c r="AC23" s="419" t="e">
        <f t="shared" si="10"/>
        <v>#REF!</v>
      </c>
      <c r="AD23" s="419" t="e">
        <f t="shared" si="11"/>
        <v>#REF!</v>
      </c>
      <c r="AE23" s="439" t="e">
        <f t="shared" si="12"/>
        <v>#VALUE!</v>
      </c>
      <c r="AF23" s="438" t="str">
        <f t="shared" si="13"/>
        <v/>
      </c>
    </row>
    <row r="24" spans="1:32" s="401" customFormat="1" ht="15" x14ac:dyDescent="0.2">
      <c r="A24" s="335"/>
      <c r="B24" s="212" t="s">
        <v>273</v>
      </c>
      <c r="C24" s="212" t="s">
        <v>40</v>
      </c>
      <c r="D24" s="414"/>
      <c r="E24" s="212"/>
      <c r="F24" s="412"/>
      <c r="G24" s="412"/>
      <c r="H24" s="415"/>
      <c r="I24" s="212"/>
      <c r="J24" s="412"/>
      <c r="K24" s="412"/>
      <c r="L24" s="212"/>
      <c r="M24" s="433" t="str">
        <f t="shared" si="0"/>
        <v/>
      </c>
      <c r="N24" s="434" t="e">
        <f t="shared" si="1"/>
        <v>#VALUE!</v>
      </c>
      <c r="O24" s="434" t="e">
        <f t="shared" si="2"/>
        <v>#VALUE!</v>
      </c>
      <c r="P24" s="434">
        <f t="shared" si="3"/>
        <v>0</v>
      </c>
      <c r="Q24" s="434">
        <f t="shared" si="4"/>
        <v>0</v>
      </c>
      <c r="R24" s="413">
        <f t="shared" si="5"/>
        <v>0</v>
      </c>
      <c r="S24" s="413">
        <f t="shared" ca="1" si="6"/>
        <v>2021</v>
      </c>
      <c r="T24" s="212"/>
      <c r="U24" s="417"/>
      <c r="V24" s="435">
        <v>0.88500000000000001</v>
      </c>
      <c r="W24" s="435">
        <f t="shared" si="7"/>
        <v>1.4999999999999999E-2</v>
      </c>
      <c r="X24" s="435">
        <f t="shared" si="8"/>
        <v>1.7249999999999998E-3</v>
      </c>
      <c r="Y24" s="413" t="str">
        <f t="shared" si="9"/>
        <v/>
      </c>
      <c r="Z24" s="418"/>
      <c r="AA24" s="436" t="e">
        <f>HLOOKUP(T24,'Capital Rates'!$A$37:$F$48,12,FALSE)</f>
        <v>#N/A</v>
      </c>
      <c r="AB24" s="419" t="e">
        <f>VLOOKUP(R24,'Capital Rates'!$A$18:$F$47,Fleet!$AA24,FALSE)</f>
        <v>#REF!</v>
      </c>
      <c r="AC24" s="419" t="e">
        <f t="shared" si="10"/>
        <v>#REF!</v>
      </c>
      <c r="AD24" s="419" t="e">
        <f t="shared" si="11"/>
        <v>#REF!</v>
      </c>
      <c r="AE24" s="439" t="e">
        <f t="shared" si="12"/>
        <v>#VALUE!</v>
      </c>
      <c r="AF24" s="438" t="str">
        <f t="shared" si="13"/>
        <v/>
      </c>
    </row>
    <row r="25" spans="1:32" s="401" customFormat="1" ht="15" x14ac:dyDescent="0.2">
      <c r="A25" s="335"/>
      <c r="B25" s="212" t="s">
        <v>273</v>
      </c>
      <c r="C25" s="212" t="s">
        <v>40</v>
      </c>
      <c r="D25" s="414"/>
      <c r="E25" s="212"/>
      <c r="F25" s="412"/>
      <c r="G25" s="412"/>
      <c r="H25" s="415"/>
      <c r="I25" s="212"/>
      <c r="J25" s="412"/>
      <c r="K25" s="412"/>
      <c r="L25" s="212"/>
      <c r="M25" s="433" t="str">
        <f t="shared" si="0"/>
        <v/>
      </c>
      <c r="N25" s="434" t="e">
        <f t="shared" si="1"/>
        <v>#VALUE!</v>
      </c>
      <c r="O25" s="434" t="e">
        <f t="shared" si="2"/>
        <v>#VALUE!</v>
      </c>
      <c r="P25" s="434">
        <f t="shared" si="3"/>
        <v>0</v>
      </c>
      <c r="Q25" s="434">
        <f t="shared" si="4"/>
        <v>0</v>
      </c>
      <c r="R25" s="413">
        <f t="shared" si="5"/>
        <v>0</v>
      </c>
      <c r="S25" s="413">
        <f t="shared" ca="1" si="6"/>
        <v>2021</v>
      </c>
      <c r="T25" s="212"/>
      <c r="U25" s="417"/>
      <c r="V25" s="435">
        <v>0.88500000000000001</v>
      </c>
      <c r="W25" s="435">
        <f t="shared" si="7"/>
        <v>1.4999999999999999E-2</v>
      </c>
      <c r="X25" s="435">
        <f t="shared" si="8"/>
        <v>1.7249999999999998E-3</v>
      </c>
      <c r="Y25" s="413" t="str">
        <f t="shared" si="9"/>
        <v/>
      </c>
      <c r="Z25" s="418"/>
      <c r="AA25" s="436" t="e">
        <f>HLOOKUP(T25,'Capital Rates'!$A$37:$F$48,12,FALSE)</f>
        <v>#N/A</v>
      </c>
      <c r="AB25" s="419" t="e">
        <f>VLOOKUP(R25,'Capital Rates'!$A$18:$F$47,Fleet!$AA25,FALSE)</f>
        <v>#REF!</v>
      </c>
      <c r="AC25" s="419" t="e">
        <f t="shared" si="10"/>
        <v>#REF!</v>
      </c>
      <c r="AD25" s="419" t="e">
        <f t="shared" si="11"/>
        <v>#REF!</v>
      </c>
      <c r="AE25" s="439" t="e">
        <f t="shared" si="12"/>
        <v>#VALUE!</v>
      </c>
      <c r="AF25" s="438" t="str">
        <f t="shared" si="13"/>
        <v/>
      </c>
    </row>
    <row r="26" spans="1:32" s="401" customFormat="1" ht="15" x14ac:dyDescent="0.2">
      <c r="A26" s="335"/>
      <c r="B26" s="212" t="s">
        <v>273</v>
      </c>
      <c r="C26" s="212" t="s">
        <v>40</v>
      </c>
      <c r="D26" s="414"/>
      <c r="E26" s="212"/>
      <c r="F26" s="412"/>
      <c r="G26" s="412"/>
      <c r="H26" s="415"/>
      <c r="I26" s="212"/>
      <c r="J26" s="412"/>
      <c r="K26" s="412"/>
      <c r="L26" s="212"/>
      <c r="M26" s="433" t="str">
        <f t="shared" si="0"/>
        <v/>
      </c>
      <c r="N26" s="434" t="e">
        <f t="shared" si="1"/>
        <v>#VALUE!</v>
      </c>
      <c r="O26" s="434" t="e">
        <f t="shared" si="2"/>
        <v>#VALUE!</v>
      </c>
      <c r="P26" s="434">
        <f t="shared" si="3"/>
        <v>0</v>
      </c>
      <c r="Q26" s="434">
        <f t="shared" si="4"/>
        <v>0</v>
      </c>
      <c r="R26" s="413">
        <f t="shared" si="5"/>
        <v>0</v>
      </c>
      <c r="S26" s="413">
        <f t="shared" ca="1" si="6"/>
        <v>2021</v>
      </c>
      <c r="T26" s="212"/>
      <c r="U26" s="417"/>
      <c r="V26" s="435">
        <v>0.88500000000000001</v>
      </c>
      <c r="W26" s="435">
        <f t="shared" si="7"/>
        <v>1.4999999999999999E-2</v>
      </c>
      <c r="X26" s="435">
        <f t="shared" si="8"/>
        <v>1.7249999999999998E-3</v>
      </c>
      <c r="Y26" s="413" t="str">
        <f t="shared" si="9"/>
        <v/>
      </c>
      <c r="Z26" s="418"/>
      <c r="AA26" s="436" t="e">
        <f>HLOOKUP(T26,'Capital Rates'!$A$37:$F$48,12,FALSE)</f>
        <v>#N/A</v>
      </c>
      <c r="AB26" s="419" t="e">
        <f>VLOOKUP(R26,'Capital Rates'!$A$18:$F$47,Fleet!$AA26,FALSE)</f>
        <v>#REF!</v>
      </c>
      <c r="AC26" s="419" t="e">
        <f t="shared" si="10"/>
        <v>#REF!</v>
      </c>
      <c r="AD26" s="419" t="e">
        <f t="shared" si="11"/>
        <v>#REF!</v>
      </c>
      <c r="AE26" s="439" t="e">
        <f t="shared" si="12"/>
        <v>#VALUE!</v>
      </c>
      <c r="AF26" s="438" t="str">
        <f t="shared" si="13"/>
        <v/>
      </c>
    </row>
    <row r="27" spans="1:32" s="401" customFormat="1" ht="15" x14ac:dyDescent="0.2">
      <c r="A27" s="420"/>
      <c r="B27" s="346" t="s">
        <v>273</v>
      </c>
      <c r="C27" s="212" t="s">
        <v>40</v>
      </c>
      <c r="D27" s="421"/>
      <c r="E27" s="346"/>
      <c r="F27" s="422"/>
      <c r="G27" s="422"/>
      <c r="H27" s="423"/>
      <c r="I27" s="346"/>
      <c r="J27" s="422"/>
      <c r="K27" s="422"/>
      <c r="L27" s="346"/>
      <c r="M27" s="433" t="str">
        <f t="shared" si="0"/>
        <v/>
      </c>
      <c r="N27" s="440" t="e">
        <f t="shared" si="1"/>
        <v>#VALUE!</v>
      </c>
      <c r="O27" s="440" t="e">
        <f t="shared" si="2"/>
        <v>#VALUE!</v>
      </c>
      <c r="P27" s="440">
        <f t="shared" si="3"/>
        <v>0</v>
      </c>
      <c r="Q27" s="440">
        <f t="shared" si="4"/>
        <v>0</v>
      </c>
      <c r="R27" s="424">
        <f t="shared" si="5"/>
        <v>0</v>
      </c>
      <c r="S27" s="424">
        <f t="shared" ca="1" si="6"/>
        <v>2021</v>
      </c>
      <c r="T27" s="212"/>
      <c r="U27" s="425"/>
      <c r="V27" s="441">
        <v>0.88500000000000001</v>
      </c>
      <c r="W27" s="441">
        <f t="shared" si="7"/>
        <v>1.4999999999999999E-2</v>
      </c>
      <c r="X27" s="441">
        <f t="shared" si="8"/>
        <v>1.7249999999999998E-3</v>
      </c>
      <c r="Y27" s="424" t="str">
        <f t="shared" si="9"/>
        <v/>
      </c>
      <c r="Z27" s="426"/>
      <c r="AA27" s="436" t="e">
        <f>HLOOKUP(T27,'Capital Rates'!$A$37:$F$48,12,FALSE)</f>
        <v>#N/A</v>
      </c>
      <c r="AB27" s="419" t="e">
        <f>VLOOKUP(R27,'Capital Rates'!$A$18:$F$47,Fleet!$AA27,FALSE)</f>
        <v>#REF!</v>
      </c>
      <c r="AC27" s="419" t="e">
        <f t="shared" si="10"/>
        <v>#REF!</v>
      </c>
      <c r="AD27" s="419" t="e">
        <f t="shared" si="11"/>
        <v>#REF!</v>
      </c>
      <c r="AE27" s="439" t="e">
        <f t="shared" si="12"/>
        <v>#VALUE!</v>
      </c>
      <c r="AF27" s="438" t="str">
        <f t="shared" si="13"/>
        <v/>
      </c>
    </row>
    <row r="28" spans="1:32" ht="13.5" thickBot="1" x14ac:dyDescent="0.25">
      <c r="A28" s="336"/>
      <c r="B28" s="337"/>
      <c r="C28" s="337"/>
      <c r="D28" s="337"/>
      <c r="E28" s="337"/>
      <c r="F28" s="337"/>
      <c r="G28" s="337"/>
      <c r="H28" s="404"/>
      <c r="I28" s="337"/>
      <c r="J28" s="337"/>
      <c r="K28" s="337"/>
      <c r="L28" s="337"/>
      <c r="M28" s="404"/>
      <c r="N28" s="404"/>
      <c r="O28" s="404"/>
      <c r="P28" s="404"/>
      <c r="Q28" s="404"/>
      <c r="R28" s="404"/>
      <c r="S28" s="404"/>
      <c r="T28" s="337"/>
      <c r="U28" s="337"/>
      <c r="V28" s="404"/>
      <c r="W28" s="404"/>
      <c r="X28" s="404"/>
      <c r="Y28" s="404"/>
      <c r="Z28" s="338" t="s">
        <v>220</v>
      </c>
      <c r="AA28" s="407"/>
      <c r="AB28" s="408"/>
      <c r="AC28" s="408"/>
      <c r="AD28" s="408"/>
      <c r="AE28" s="442" t="e">
        <f>SUMIF(B3:B27,"Approved Vehicle",AE3:AE27)</f>
        <v>#VALUE!</v>
      </c>
      <c r="AF28" s="443"/>
    </row>
    <row r="29" spans="1:32" ht="14.25" thickTop="1" thickBot="1" x14ac:dyDescent="0.25">
      <c r="A29" s="339"/>
      <c r="B29" s="340"/>
      <c r="C29" s="340"/>
      <c r="D29" s="340"/>
      <c r="E29" s="340"/>
      <c r="F29" s="340"/>
      <c r="G29" s="340"/>
      <c r="H29" s="405"/>
      <c r="I29" s="340"/>
      <c r="J29" s="340"/>
      <c r="K29" s="340"/>
      <c r="L29" s="340"/>
      <c r="M29" s="405"/>
      <c r="N29" s="405"/>
      <c r="O29" s="405"/>
      <c r="P29" s="405"/>
      <c r="Q29" s="405"/>
      <c r="R29" s="405"/>
      <c r="S29" s="405"/>
      <c r="T29" s="340"/>
      <c r="U29" s="340"/>
      <c r="V29" s="405"/>
      <c r="W29" s="405"/>
      <c r="X29" s="405"/>
      <c r="Y29" s="405"/>
      <c r="Z29" s="341" t="s">
        <v>221</v>
      </c>
      <c r="AA29" s="409"/>
      <c r="AB29" s="410"/>
      <c r="AC29" s="410"/>
      <c r="AD29" s="410"/>
      <c r="AE29" s="444" t="e">
        <f>SUMIF(B3:B27,"Rotational Spare",AE3:AE27)</f>
        <v>#VALUE!</v>
      </c>
      <c r="AF29" s="445"/>
    </row>
  </sheetData>
  <sheetProtection algorithmName="SHA-512" hashValue="t3e/alsJzcJKyHiYd3CD8yCc5wVwXowxwPV/58Hcqxk5PjWQMjCcilIBKS7olz/I6SZ/erR4pXTRiHmowmKCJw==" saltValue="wfKrObFumSXUZyXJDdcoPA==" spinCount="100000" sheet="1" selectLockedCells="1"/>
  <conditionalFormatting sqref="N6 U6:AD6 F6:K6 P6:Q6">
    <cfRule type="expression" dxfId="0" priority="1">
      <formula>$C$6="yes"</formula>
    </cfRule>
  </conditionalFormatting>
  <dataValidations count="6">
    <dataValidation type="list" allowBlank="1" showInputMessage="1" showErrorMessage="1" sqref="T3:T27" xr:uid="{26EFCCCF-0BA7-4A86-84A6-896419065FB4}">
      <formula1>"Please Select,Small,Medium,Large,X-Large,Artic"</formula1>
    </dataValidation>
    <dataValidation type="list" allowBlank="1" showInputMessage="1" showErrorMessage="1" sqref="C3:C27" xr:uid="{2BFB8E40-1139-4E76-B5D6-96595290A6C3}">
      <formula1>"Please Select,NO,YES"</formula1>
    </dataValidation>
    <dataValidation type="list" allowBlank="1" showInputMessage="1" showErrorMessage="1" sqref="B3:B27" xr:uid="{2DE11A9A-18B9-456D-BBD5-EBCAF47EA97E}">
      <formula1>"Please Select,Approved Vehicle, Rotational Spare"</formula1>
    </dataValidation>
    <dataValidation type="list" allowBlank="1" showInputMessage="1" showErrorMessage="1" sqref="F3 K3 F4:F27 K4:K27" xr:uid="{E7F5883C-B7BA-4889-94E8-10E827DA06AE}">
      <formula1>"1,2,3,4,5,6,7,8,9,10,11,12"</formula1>
    </dataValidation>
    <dataValidation type="whole" errorStyle="information" operator="lessThanOrEqual" allowBlank="1" showInputMessage="1" showErrorMessage="1" errorTitle="Out of Payment Age" error="It appears that the Age of the vehicle entered is greater than the Bus Age allowed for payment of the Annual Capital Allowance. Please review." sqref="R3:S27" xr:uid="{606D82A0-693A-43DF-85A2-1FFC361A59F7}">
      <formula1>IF(C3="NO",IF(T3="Small",10,IF(T3="Medium",20,IF(T3="Large",20,IF(T3="X-Large",20,IF(T3="Artic",25))))),30)</formula1>
    </dataValidation>
    <dataValidation type="list" allowBlank="1" showInputMessage="1" showErrorMessage="1" sqref="I3:I27" xr:uid="{4406E280-837B-49A4-B648-13CBF8E825B3}">
      <formula1>"Yes,No"</formula1>
    </dataValidation>
  </dataValidations>
  <pageMargins left="0.70866141732283472" right="0.70866141732283472" top="3.7007874015748032" bottom="0.74803149606299213" header="0.31496062992125984" footer="0.31496062992125984"/>
  <pageSetup paperSize="8" scale="5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IV150"/>
  <sheetViews>
    <sheetView zoomScale="90" zoomScaleNormal="90" workbookViewId="0">
      <selection activeCell="H78" sqref="H78"/>
    </sheetView>
  </sheetViews>
  <sheetFormatPr defaultColWidth="8.85546875" defaultRowHeight="12.75" x14ac:dyDescent="0.2"/>
  <cols>
    <col min="1" max="1" width="51.42578125" style="2" customWidth="1"/>
    <col min="2" max="2" width="14.42578125" style="2" bestFit="1" customWidth="1"/>
    <col min="3" max="3" width="17.5703125" style="4" customWidth="1"/>
    <col min="4" max="4" width="18.85546875" style="22" customWidth="1"/>
    <col min="5" max="5" width="21.140625" style="2" customWidth="1"/>
    <col min="6" max="6" width="20.5703125" style="2" customWidth="1"/>
    <col min="7" max="7" width="16" style="2" customWidth="1"/>
    <col min="8" max="8" width="29.42578125" style="2" customWidth="1"/>
    <col min="9" max="9" width="13" style="2" customWidth="1"/>
    <col min="10" max="10" width="12.140625" style="2" customWidth="1"/>
    <col min="11" max="11" width="12.5703125" style="2" customWidth="1"/>
    <col min="12" max="12" width="9.140625" style="2" customWidth="1"/>
    <col min="13" max="13" width="11" style="2" customWidth="1"/>
    <col min="14" max="14" width="11.7109375" style="2" customWidth="1"/>
    <col min="15" max="15" width="8.85546875" style="2"/>
    <col min="16" max="16" width="15.140625" style="2" customWidth="1"/>
    <col min="17" max="17" width="13.7109375" style="2" customWidth="1"/>
    <col min="18" max="16384" width="8.85546875" style="2"/>
  </cols>
  <sheetData>
    <row r="1" spans="1:15" ht="33.75" customHeight="1" x14ac:dyDescent="0.25">
      <c r="A1" s="251"/>
      <c r="B1" s="252"/>
      <c r="D1" s="3"/>
    </row>
    <row r="2" spans="1:15" x14ac:dyDescent="0.2">
      <c r="A2" s="211" t="s">
        <v>100</v>
      </c>
      <c r="D2" s="3"/>
      <c r="E2" s="483" t="s">
        <v>255</v>
      </c>
      <c r="F2" s="483"/>
      <c r="G2" s="3">
        <f>IF('GA Model'!C11="Standard",1200,IF('GA Model'!C11="Complex",5000,0))</f>
        <v>1200</v>
      </c>
    </row>
    <row r="3" spans="1:15" x14ac:dyDescent="0.2">
      <c r="A3" s="253" t="s">
        <v>102</v>
      </c>
      <c r="B3" s="100">
        <v>0.08</v>
      </c>
      <c r="C3" s="254"/>
      <c r="D3" s="3"/>
    </row>
    <row r="4" spans="1:15" x14ac:dyDescent="0.2">
      <c r="A4" s="253" t="s">
        <v>101</v>
      </c>
      <c r="B4" s="100">
        <v>0</v>
      </c>
      <c r="D4" s="3"/>
    </row>
    <row r="5" spans="1:15" ht="13.5" thickBot="1" x14ac:dyDescent="0.25">
      <c r="A5" s="255" t="s">
        <v>103</v>
      </c>
      <c r="B5" s="101">
        <f>SUM(B3:B4)</f>
        <v>0.08</v>
      </c>
      <c r="D5" s="3"/>
    </row>
    <row r="6" spans="1:15" ht="13.5" thickTop="1" x14ac:dyDescent="0.2">
      <c r="A6" s="255"/>
      <c r="B6" s="99"/>
      <c r="D6" s="3"/>
    </row>
    <row r="7" spans="1:15" x14ac:dyDescent="0.2">
      <c r="A7" s="211"/>
      <c r="D7" s="3"/>
    </row>
    <row r="8" spans="1:15" x14ac:dyDescent="0.2">
      <c r="A8" s="5" t="s">
        <v>39</v>
      </c>
      <c r="C8" s="7"/>
      <c r="D8" s="3"/>
    </row>
    <row r="9" spans="1:15" x14ac:dyDescent="0.2">
      <c r="A9" s="211" t="s">
        <v>43</v>
      </c>
      <c r="C9" s="7">
        <v>2.5000000000000001E-2</v>
      </c>
      <c r="D9" s="3"/>
    </row>
    <row r="10" spans="1:15" x14ac:dyDescent="0.2">
      <c r="A10" s="211" t="s">
        <v>42</v>
      </c>
      <c r="C10" s="7">
        <v>9.5000000000000001E-2</v>
      </c>
      <c r="D10" s="3"/>
    </row>
    <row r="11" spans="1:15" x14ac:dyDescent="0.2">
      <c r="A11" s="211" t="s">
        <v>41</v>
      </c>
      <c r="B11" s="7"/>
      <c r="C11" s="7">
        <v>3.5999999999999997E-2</v>
      </c>
      <c r="D11" s="7">
        <f>'GA Model'!C15/100</f>
        <v>0</v>
      </c>
      <c r="E11" s="2" t="s">
        <v>263</v>
      </c>
    </row>
    <row r="12" spans="1:15" x14ac:dyDescent="0.2">
      <c r="A12" s="211" t="s">
        <v>72</v>
      </c>
      <c r="B12" s="7"/>
      <c r="C12" s="7">
        <v>0.01</v>
      </c>
      <c r="D12" s="3"/>
    </row>
    <row r="13" spans="1:15" x14ac:dyDescent="0.2">
      <c r="A13" s="211"/>
      <c r="B13" s="211" t="s">
        <v>52</v>
      </c>
      <c r="C13" s="7">
        <f>SUM(C9:C12)</f>
        <v>0.16600000000000001</v>
      </c>
      <c r="D13" s="3"/>
    </row>
    <row r="14" spans="1:15" x14ac:dyDescent="0.2">
      <c r="D14" s="3"/>
    </row>
    <row r="15" spans="1:15" x14ac:dyDescent="0.2">
      <c r="C15" s="256" t="s">
        <v>65</v>
      </c>
      <c r="D15" s="257" t="s">
        <v>92</v>
      </c>
    </row>
    <row r="16" spans="1:15" x14ac:dyDescent="0.2">
      <c r="A16" s="261" t="s">
        <v>78</v>
      </c>
      <c r="B16" s="261"/>
      <c r="C16" s="300">
        <v>30.55</v>
      </c>
      <c r="D16" s="300">
        <f>C16*(1+C9+C10+C11)</f>
        <v>35.315799999999996</v>
      </c>
      <c r="E16" s="258"/>
      <c r="G16" s="211" t="s">
        <v>210</v>
      </c>
      <c r="H16" s="211"/>
      <c r="O16" s="46"/>
    </row>
    <row r="17" spans="1:15" x14ac:dyDescent="0.2">
      <c r="A17" s="5" t="s">
        <v>32</v>
      </c>
      <c r="D17" s="52"/>
      <c r="G17" s="211"/>
      <c r="H17" s="211"/>
      <c r="M17" s="176"/>
      <c r="N17" s="176"/>
    </row>
    <row r="18" spans="1:15" x14ac:dyDescent="0.2">
      <c r="A18" s="211" t="s">
        <v>69</v>
      </c>
      <c r="C18" s="256">
        <v>28.6</v>
      </c>
      <c r="D18" s="52">
        <f>C18*(1+$C$9+$C$10+$C$11+$C$12)</f>
        <v>33.3476</v>
      </c>
      <c r="E18" s="211" t="s">
        <v>34</v>
      </c>
      <c r="G18" s="211"/>
      <c r="H18" s="211"/>
      <c r="M18" s="176"/>
      <c r="N18" s="176"/>
    </row>
    <row r="19" spans="1:15" x14ac:dyDescent="0.2">
      <c r="A19" s="211" t="s">
        <v>70</v>
      </c>
      <c r="C19" s="256">
        <v>32.03</v>
      </c>
      <c r="D19" s="52">
        <f t="shared" ref="D19:D22" si="0">C19*(1+$C$9+$C$10+$C$11+$C$12)</f>
        <v>37.346980000000002</v>
      </c>
      <c r="E19" s="211" t="s">
        <v>209</v>
      </c>
      <c r="G19" s="211"/>
      <c r="H19" s="211"/>
      <c r="M19" s="176"/>
      <c r="N19" s="176"/>
      <c r="O19" s="176"/>
    </row>
    <row r="20" spans="1:15" x14ac:dyDescent="0.2">
      <c r="A20" s="211" t="s">
        <v>35</v>
      </c>
      <c r="C20" s="256">
        <v>40.04</v>
      </c>
      <c r="D20" s="52">
        <f t="shared" si="0"/>
        <v>46.686639999999997</v>
      </c>
      <c r="E20" s="211" t="s">
        <v>33</v>
      </c>
      <c r="G20" s="259">
        <f>Driver_Sat*B26</f>
        <v>5.6023967999999993</v>
      </c>
      <c r="H20" s="211"/>
      <c r="M20" s="176"/>
      <c r="N20" s="176"/>
      <c r="O20" s="176"/>
    </row>
    <row r="21" spans="1:15" x14ac:dyDescent="0.2">
      <c r="A21" s="211" t="s">
        <v>193</v>
      </c>
      <c r="C21" s="256">
        <v>51.48</v>
      </c>
      <c r="D21" s="52">
        <f t="shared" si="0"/>
        <v>60.025679999999994</v>
      </c>
      <c r="E21" s="211" t="s">
        <v>194</v>
      </c>
      <c r="G21" s="259">
        <f>Driver_Sun*B26</f>
        <v>7.2030815999999991</v>
      </c>
      <c r="H21" s="211"/>
      <c r="M21" s="176"/>
      <c r="N21" s="176"/>
      <c r="O21" s="176"/>
    </row>
    <row r="22" spans="1:15" x14ac:dyDescent="0.2">
      <c r="A22" s="211" t="s">
        <v>192</v>
      </c>
      <c r="C22" s="256">
        <v>62.92</v>
      </c>
      <c r="D22" s="52">
        <f t="shared" si="0"/>
        <v>73.364719999999991</v>
      </c>
      <c r="E22" s="211" t="s">
        <v>195</v>
      </c>
      <c r="G22" s="259">
        <f>D22*B26</f>
        <v>8.8037663999999989</v>
      </c>
      <c r="H22" s="211"/>
    </row>
    <row r="23" spans="1:15" x14ac:dyDescent="0.2">
      <c r="A23" s="261" t="s">
        <v>98</v>
      </c>
      <c r="B23" s="261"/>
      <c r="C23" s="300">
        <v>31.51</v>
      </c>
      <c r="D23" s="300">
        <f>C23*(1+$C$9+$C$10+$C$11+$C$12)</f>
        <v>36.740659999999998</v>
      </c>
      <c r="E23" s="258"/>
      <c r="K23" s="211"/>
      <c r="L23" s="46"/>
    </row>
    <row r="24" spans="1:15" x14ac:dyDescent="0.2">
      <c r="A24" s="1"/>
      <c r="D24" s="52"/>
      <c r="K24" s="211"/>
      <c r="L24" s="46"/>
    </row>
    <row r="25" spans="1:15" x14ac:dyDescent="0.2">
      <c r="A25" s="211" t="s">
        <v>201</v>
      </c>
      <c r="B25" s="46">
        <v>0.11</v>
      </c>
      <c r="D25" s="52"/>
      <c r="K25" s="211"/>
      <c r="L25" s="46"/>
    </row>
    <row r="26" spans="1:15" x14ac:dyDescent="0.2">
      <c r="A26" s="211" t="s">
        <v>217</v>
      </c>
      <c r="B26" s="46">
        <v>0.12</v>
      </c>
      <c r="D26" s="3"/>
    </row>
    <row r="27" spans="1:15" x14ac:dyDescent="0.2">
      <c r="A27" s="1" t="s">
        <v>53</v>
      </c>
      <c r="D27" s="2"/>
    </row>
    <row r="28" spans="1:15" x14ac:dyDescent="0.2">
      <c r="A28" s="30" t="s">
        <v>37</v>
      </c>
      <c r="D28" s="2"/>
    </row>
    <row r="29" spans="1:15" x14ac:dyDescent="0.2">
      <c r="A29" s="35" t="s">
        <v>54</v>
      </c>
      <c r="B29" s="36"/>
      <c r="D29" s="2"/>
    </row>
    <row r="30" spans="1:15" ht="15" x14ac:dyDescent="0.25">
      <c r="A30" s="1"/>
      <c r="B30" s="2" t="s">
        <v>38</v>
      </c>
      <c r="C30" s="37" t="s">
        <v>55</v>
      </c>
      <c r="D30" s="260" t="s">
        <v>29</v>
      </c>
    </row>
    <row r="31" spans="1:15" x14ac:dyDescent="0.2">
      <c r="A31" s="1"/>
      <c r="D31" s="2"/>
    </row>
    <row r="32" spans="1:15" x14ac:dyDescent="0.2">
      <c r="A32" s="111" t="s">
        <v>28</v>
      </c>
      <c r="B32" s="112"/>
      <c r="C32" s="113"/>
      <c r="D32" s="112"/>
      <c r="E32" s="112"/>
      <c r="F32" s="112"/>
      <c r="G32" s="112"/>
    </row>
    <row r="33" spans="1:7" x14ac:dyDescent="0.2">
      <c r="A33" s="112" t="s">
        <v>0</v>
      </c>
      <c r="B33" s="112"/>
      <c r="C33" s="114">
        <v>762.3</v>
      </c>
      <c r="D33" s="261" t="s">
        <v>56</v>
      </c>
      <c r="E33" s="112"/>
      <c r="F33" s="112"/>
      <c r="G33" s="112"/>
    </row>
    <row r="34" spans="1:7" x14ac:dyDescent="0.2">
      <c r="A34" s="112" t="s">
        <v>1</v>
      </c>
      <c r="B34" s="112"/>
      <c r="C34" s="114">
        <v>780</v>
      </c>
      <c r="D34" s="261" t="s">
        <v>57</v>
      </c>
      <c r="E34" s="112"/>
      <c r="F34" s="112"/>
      <c r="G34" s="112"/>
    </row>
    <row r="35" spans="1:7" x14ac:dyDescent="0.2">
      <c r="A35" s="112" t="s">
        <v>58</v>
      </c>
      <c r="B35" s="115">
        <v>450000</v>
      </c>
      <c r="C35" s="114">
        <f>IF(B35*1.5%&lt;1046,1046,(B35*1.5%))</f>
        <v>6750</v>
      </c>
      <c r="D35" s="112" t="s">
        <v>59</v>
      </c>
      <c r="E35" s="112"/>
      <c r="F35" s="112"/>
      <c r="G35" s="112"/>
    </row>
    <row r="36" spans="1:7" x14ac:dyDescent="0.2">
      <c r="A36" s="261" t="s">
        <v>26</v>
      </c>
      <c r="B36" s="112"/>
      <c r="C36" s="114">
        <v>307</v>
      </c>
      <c r="D36" s="261" t="s">
        <v>60</v>
      </c>
      <c r="E36" s="112"/>
      <c r="F36" s="112"/>
      <c r="G36" s="112"/>
    </row>
    <row r="37" spans="1:7" x14ac:dyDescent="0.2">
      <c r="A37" s="116" t="s">
        <v>128</v>
      </c>
      <c r="B37" s="112"/>
      <c r="C37" s="114"/>
      <c r="D37" s="261"/>
      <c r="E37" s="112"/>
      <c r="F37" s="112"/>
      <c r="G37" s="112"/>
    </row>
    <row r="38" spans="1:7" x14ac:dyDescent="0.2">
      <c r="A38" s="262" t="s">
        <v>129</v>
      </c>
      <c r="B38" s="117">
        <v>30000</v>
      </c>
      <c r="C38" s="114"/>
      <c r="D38" s="261" t="s">
        <v>131</v>
      </c>
      <c r="E38" s="112"/>
      <c r="F38" s="112"/>
      <c r="G38" s="112"/>
    </row>
    <row r="39" spans="1:7" x14ac:dyDescent="0.2">
      <c r="A39" s="262" t="s">
        <v>133</v>
      </c>
      <c r="B39" s="117">
        <v>2500</v>
      </c>
      <c r="C39" s="114"/>
      <c r="D39" s="261"/>
      <c r="E39" s="112"/>
      <c r="F39" s="112"/>
      <c r="G39" s="112"/>
    </row>
    <row r="40" spans="1:7" x14ac:dyDescent="0.2">
      <c r="A40" s="262" t="s">
        <v>130</v>
      </c>
      <c r="B40" s="118">
        <f>1/5</f>
        <v>0.2</v>
      </c>
      <c r="C40" s="114">
        <f>(B38+B39)*B40</f>
        <v>6500</v>
      </c>
      <c r="D40" s="261"/>
      <c r="E40" s="112"/>
      <c r="F40" s="112"/>
      <c r="G40" s="112"/>
    </row>
    <row r="41" spans="1:7" x14ac:dyDescent="0.2">
      <c r="A41" s="116" t="s">
        <v>2</v>
      </c>
      <c r="B41" s="119"/>
      <c r="C41" s="120"/>
      <c r="D41" s="112"/>
      <c r="E41" s="112"/>
      <c r="F41" s="112"/>
      <c r="G41" s="112"/>
    </row>
    <row r="42" spans="1:7" ht="15" x14ac:dyDescent="0.25">
      <c r="A42" s="112" t="s">
        <v>3</v>
      </c>
      <c r="B42" s="121">
        <v>1</v>
      </c>
      <c r="C42" s="120"/>
      <c r="D42" s="263"/>
      <c r="E42" s="122"/>
      <c r="F42" s="112"/>
      <c r="G42" s="112"/>
    </row>
    <row r="43" spans="1:7" x14ac:dyDescent="0.2">
      <c r="A43" s="112" t="s">
        <v>17</v>
      </c>
      <c r="B43" s="112"/>
      <c r="C43" s="114">
        <f>B42*150</f>
        <v>150</v>
      </c>
      <c r="D43" s="261" t="s">
        <v>49</v>
      </c>
      <c r="E43" s="112"/>
      <c r="F43" s="112"/>
      <c r="G43" s="112"/>
    </row>
    <row r="44" spans="1:7" x14ac:dyDescent="0.2">
      <c r="A44" s="112" t="s">
        <v>18</v>
      </c>
      <c r="B44" s="112"/>
      <c r="C44" s="114">
        <f>B42*200</f>
        <v>200</v>
      </c>
      <c r="D44" s="261" t="s">
        <v>49</v>
      </c>
      <c r="E44" s="112"/>
      <c r="F44" s="112"/>
      <c r="G44" s="112"/>
    </row>
    <row r="45" spans="1:7" x14ac:dyDescent="0.2">
      <c r="A45" s="116" t="s">
        <v>6</v>
      </c>
      <c r="B45" s="112"/>
      <c r="C45" s="114"/>
      <c r="D45" s="112"/>
      <c r="E45" s="112"/>
      <c r="F45" s="112"/>
      <c r="G45" s="112"/>
    </row>
    <row r="46" spans="1:7" x14ac:dyDescent="0.2">
      <c r="A46" s="261" t="s">
        <v>10</v>
      </c>
      <c r="B46" s="112"/>
      <c r="C46" s="114">
        <v>300</v>
      </c>
      <c r="D46" s="264" t="s">
        <v>124</v>
      </c>
      <c r="E46" s="112"/>
      <c r="F46" s="112"/>
      <c r="G46" s="112"/>
    </row>
    <row r="47" spans="1:7" x14ac:dyDescent="0.2">
      <c r="A47" s="116" t="s">
        <v>46</v>
      </c>
      <c r="B47" s="112"/>
      <c r="C47" s="114">
        <v>300</v>
      </c>
      <c r="D47" s="261" t="s">
        <v>48</v>
      </c>
      <c r="E47" s="112"/>
      <c r="F47" s="112"/>
      <c r="G47" s="112"/>
    </row>
    <row r="48" spans="1:7" x14ac:dyDescent="0.2">
      <c r="A48" s="116" t="s">
        <v>8</v>
      </c>
      <c r="B48" s="112"/>
      <c r="C48" s="114"/>
      <c r="D48" s="112"/>
      <c r="E48" s="112"/>
      <c r="F48" s="112"/>
      <c r="G48" s="112"/>
    </row>
    <row r="49" spans="1:7" x14ac:dyDescent="0.2">
      <c r="A49" s="261" t="s">
        <v>12</v>
      </c>
      <c r="B49" s="112"/>
      <c r="C49" s="114">
        <v>400</v>
      </c>
      <c r="D49" s="123" t="s">
        <v>135</v>
      </c>
      <c r="E49" s="112"/>
      <c r="F49" s="112"/>
      <c r="G49" s="112"/>
    </row>
    <row r="50" spans="1:7" x14ac:dyDescent="0.2">
      <c r="A50" s="116" t="s">
        <v>20</v>
      </c>
      <c r="B50" s="112"/>
      <c r="C50" s="120"/>
      <c r="D50" s="112"/>
      <c r="E50" s="112"/>
      <c r="F50" s="112"/>
      <c r="G50" s="112"/>
    </row>
    <row r="51" spans="1:7" x14ac:dyDescent="0.2">
      <c r="A51" s="261" t="s">
        <v>11</v>
      </c>
      <c r="B51" s="112">
        <v>52</v>
      </c>
      <c r="C51" s="120"/>
      <c r="D51" s="112"/>
      <c r="E51" s="112"/>
      <c r="F51" s="112"/>
      <c r="G51" s="112"/>
    </row>
    <row r="52" spans="1:7" x14ac:dyDescent="0.2">
      <c r="A52" s="261" t="s">
        <v>21</v>
      </c>
      <c r="B52" s="265">
        <v>4.5</v>
      </c>
      <c r="C52" s="120"/>
      <c r="D52" s="261" t="s">
        <v>24</v>
      </c>
      <c r="E52" s="112"/>
      <c r="F52" s="112"/>
      <c r="G52" s="112"/>
    </row>
    <row r="53" spans="1:7" ht="25.5" customHeight="1" x14ac:dyDescent="0.2">
      <c r="A53" s="261" t="s">
        <v>25</v>
      </c>
      <c r="B53" s="124">
        <f>B52*B51</f>
        <v>234</v>
      </c>
      <c r="C53" s="114">
        <f>(((+B53-(52*0.75))*(C18*(1+C13)))+((52*0.75)*(C20*(1+C13))))</f>
        <v>8323.5609600000007</v>
      </c>
      <c r="D53" s="261" t="s">
        <v>247</v>
      </c>
      <c r="E53" s="112"/>
      <c r="F53" s="119"/>
      <c r="G53" s="112"/>
    </row>
    <row r="54" spans="1:7" x14ac:dyDescent="0.2">
      <c r="A54" s="261" t="s">
        <v>246</v>
      </c>
      <c r="B54" s="124"/>
      <c r="C54" s="114">
        <v>500</v>
      </c>
      <c r="D54" s="261"/>
      <c r="E54" s="112"/>
      <c r="F54" s="119"/>
      <c r="G54" s="112"/>
    </row>
    <row r="55" spans="1:7" x14ac:dyDescent="0.2">
      <c r="A55" s="261" t="s">
        <v>95</v>
      </c>
      <c r="B55" s="112"/>
      <c r="C55" s="114">
        <v>35.15</v>
      </c>
      <c r="D55" s="112"/>
      <c r="E55" s="112"/>
      <c r="F55" s="112"/>
      <c r="G55" s="112"/>
    </row>
    <row r="56" spans="1:7" x14ac:dyDescent="0.2">
      <c r="A56" s="112" t="s">
        <v>7</v>
      </c>
      <c r="B56" s="112"/>
      <c r="C56" s="114">
        <v>6000</v>
      </c>
      <c r="D56" s="261" t="s">
        <v>61</v>
      </c>
      <c r="E56" s="112"/>
      <c r="F56" s="112"/>
      <c r="G56" s="112"/>
    </row>
    <row r="57" spans="1:7" x14ac:dyDescent="0.2">
      <c r="A57" s="112"/>
      <c r="B57" s="112"/>
      <c r="C57" s="114"/>
      <c r="D57" s="261"/>
      <c r="E57" s="112"/>
      <c r="F57" s="112"/>
      <c r="G57" s="112"/>
    </row>
    <row r="58" spans="1:7" x14ac:dyDescent="0.2">
      <c r="A58" s="116" t="s">
        <v>179</v>
      </c>
      <c r="B58" s="114"/>
      <c r="C58" s="120"/>
      <c r="D58" s="261"/>
      <c r="E58" s="112"/>
      <c r="F58" s="112"/>
      <c r="G58" s="112"/>
    </row>
    <row r="59" spans="1:7" x14ac:dyDescent="0.2">
      <c r="A59" s="262" t="s">
        <v>94</v>
      </c>
      <c r="B59" s="112">
        <v>2</v>
      </c>
      <c r="C59" s="120"/>
      <c r="D59" s="123" t="s">
        <v>36</v>
      </c>
      <c r="E59" s="112"/>
      <c r="F59" s="112"/>
      <c r="G59" s="112"/>
    </row>
    <row r="60" spans="1:7" x14ac:dyDescent="0.2">
      <c r="A60" s="262" t="s">
        <v>96</v>
      </c>
      <c r="B60" s="121">
        <v>16</v>
      </c>
      <c r="C60" s="120"/>
      <c r="D60" s="261"/>
      <c r="E60" s="112"/>
      <c r="F60" s="112"/>
      <c r="G60" s="112"/>
    </row>
    <row r="61" spans="1:7" x14ac:dyDescent="0.2">
      <c r="A61" s="262" t="s">
        <v>93</v>
      </c>
      <c r="B61" s="119">
        <f>300*(B60/8)</f>
        <v>600</v>
      </c>
      <c r="C61" s="120"/>
      <c r="D61" s="261"/>
      <c r="E61" s="123"/>
      <c r="F61" s="112"/>
      <c r="G61" s="112"/>
    </row>
    <row r="62" spans="1:7" x14ac:dyDescent="0.2">
      <c r="A62" s="261" t="s">
        <v>97</v>
      </c>
      <c r="B62" s="121"/>
      <c r="C62" s="119">
        <f>(((C18*(1+C13))*B60)+B61)*B59</f>
        <v>2267.1232</v>
      </c>
      <c r="D62" s="261"/>
      <c r="E62" s="261"/>
      <c r="F62" s="112"/>
      <c r="G62" s="112"/>
    </row>
    <row r="63" spans="1:7" x14ac:dyDescent="0.2">
      <c r="A63" s="261" t="s">
        <v>184</v>
      </c>
      <c r="B63" s="121">
        <v>300</v>
      </c>
      <c r="C63" s="33">
        <f>B63*B59</f>
        <v>600</v>
      </c>
      <c r="D63" s="112" t="s">
        <v>166</v>
      </c>
      <c r="E63" s="261"/>
      <c r="F63" s="112"/>
      <c r="G63" s="112"/>
    </row>
    <row r="64" spans="1:7" x14ac:dyDescent="0.2">
      <c r="A64" s="34" t="s">
        <v>154</v>
      </c>
      <c r="B64" s="132">
        <v>350</v>
      </c>
      <c r="C64" s="33">
        <f>B64*B59</f>
        <v>700</v>
      </c>
      <c r="D64" s="112" t="s">
        <v>166</v>
      </c>
      <c r="E64" s="261"/>
      <c r="F64" s="112"/>
      <c r="G64" s="112"/>
    </row>
    <row r="65" spans="1:11" ht="13.5" thickBot="1" x14ac:dyDescent="0.25">
      <c r="A65" s="111" t="s">
        <v>126</v>
      </c>
      <c r="B65" s="112"/>
      <c r="C65" s="125">
        <f>SUM(C33:C64)</f>
        <v>34875.134160000001</v>
      </c>
      <c r="D65" s="261"/>
      <c r="E65" s="112"/>
      <c r="F65" s="112"/>
      <c r="G65" s="112"/>
    </row>
    <row r="66" spans="1:11" x14ac:dyDescent="0.2">
      <c r="A66" s="261"/>
      <c r="B66" s="112"/>
      <c r="C66" s="119"/>
      <c r="D66" s="261"/>
      <c r="E66" s="112"/>
      <c r="F66" s="112"/>
      <c r="G66" s="112"/>
    </row>
    <row r="67" spans="1:11" x14ac:dyDescent="0.2">
      <c r="A67" s="111" t="s">
        <v>9</v>
      </c>
      <c r="B67" s="112"/>
      <c r="C67" s="119"/>
      <c r="D67" s="112"/>
      <c r="E67" s="112"/>
      <c r="F67" s="112"/>
      <c r="G67" s="112"/>
    </row>
    <row r="68" spans="1:11" x14ac:dyDescent="0.2">
      <c r="A68" s="112" t="s">
        <v>31</v>
      </c>
      <c r="B68" s="112"/>
      <c r="C68" s="119">
        <v>1450</v>
      </c>
      <c r="D68" s="261" t="s">
        <v>180</v>
      </c>
      <c r="E68" s="112"/>
      <c r="F68" s="112"/>
      <c r="G68" s="112"/>
    </row>
    <row r="69" spans="1:11" x14ac:dyDescent="0.2">
      <c r="A69" s="112"/>
      <c r="B69" s="112"/>
      <c r="C69" s="119"/>
      <c r="D69" s="261"/>
      <c r="E69" s="112"/>
      <c r="F69" s="112"/>
      <c r="G69" s="112"/>
    </row>
    <row r="70" spans="1:11" x14ac:dyDescent="0.2">
      <c r="A70" s="112" t="s">
        <v>71</v>
      </c>
      <c r="B70" s="112"/>
      <c r="C70" s="119"/>
      <c r="D70" s="112"/>
      <c r="E70" s="112"/>
      <c r="F70" s="112"/>
      <c r="G70" s="112"/>
    </row>
    <row r="71" spans="1:11" x14ac:dyDescent="0.2">
      <c r="A71" s="126" t="s">
        <v>75</v>
      </c>
      <c r="B71" s="112">
        <f>38*(1/5)/2</f>
        <v>3.8000000000000003</v>
      </c>
      <c r="C71" s="119"/>
      <c r="D71" s="261" t="s">
        <v>137</v>
      </c>
      <c r="E71" s="112"/>
      <c r="F71" s="112"/>
      <c r="G71" s="112"/>
    </row>
    <row r="72" spans="1:11" x14ac:dyDescent="0.2">
      <c r="A72" s="126" t="s">
        <v>77</v>
      </c>
      <c r="B72" s="112">
        <v>52</v>
      </c>
      <c r="C72" s="119"/>
      <c r="D72" s="261"/>
      <c r="E72" s="112"/>
      <c r="F72" s="112"/>
      <c r="G72" s="112"/>
    </row>
    <row r="73" spans="1:11" x14ac:dyDescent="0.2">
      <c r="A73" s="262" t="s">
        <v>99</v>
      </c>
      <c r="B73" s="127">
        <f>B72*B71</f>
        <v>197.60000000000002</v>
      </c>
      <c r="C73" s="119"/>
      <c r="D73" s="261"/>
      <c r="E73" s="112"/>
      <c r="F73" s="112"/>
      <c r="G73" s="112"/>
    </row>
    <row r="74" spans="1:11" x14ac:dyDescent="0.2">
      <c r="A74" s="126" t="s">
        <v>74</v>
      </c>
      <c r="B74" s="128">
        <f>Supervisor_HourlyRate</f>
        <v>36.740659999999998</v>
      </c>
      <c r="C74" s="119">
        <f>B71*B72*B74</f>
        <v>7259.9544160000005</v>
      </c>
      <c r="D74" s="261"/>
      <c r="E74" s="112"/>
      <c r="F74" s="112"/>
      <c r="G74" s="112"/>
    </row>
    <row r="75" spans="1:11" x14ac:dyDescent="0.2">
      <c r="A75" s="112"/>
      <c r="B75" s="112"/>
      <c r="C75" s="119"/>
      <c r="D75" s="112"/>
      <c r="E75" s="112"/>
      <c r="F75" s="112"/>
      <c r="G75" s="112"/>
    </row>
    <row r="76" spans="1:11" x14ac:dyDescent="0.2">
      <c r="A76" s="112" t="s">
        <v>76</v>
      </c>
      <c r="B76" s="112"/>
      <c r="C76" s="119"/>
      <c r="D76" s="112"/>
      <c r="E76" s="112"/>
      <c r="F76" s="112"/>
      <c r="G76" s="112"/>
    </row>
    <row r="77" spans="1:11" x14ac:dyDescent="0.2">
      <c r="A77" s="126" t="s">
        <v>75</v>
      </c>
      <c r="B77" s="112">
        <f>38*(1/5)</f>
        <v>7.6000000000000005</v>
      </c>
      <c r="C77" s="119"/>
      <c r="D77" s="261" t="s">
        <v>79</v>
      </c>
      <c r="E77" s="112"/>
      <c r="F77" s="112"/>
      <c r="G77" s="112"/>
    </row>
    <row r="78" spans="1:11" x14ac:dyDescent="0.2">
      <c r="A78" s="126" t="s">
        <v>77</v>
      </c>
      <c r="B78" s="112">
        <v>52</v>
      </c>
      <c r="C78" s="119"/>
      <c r="D78" s="261" t="s">
        <v>62</v>
      </c>
      <c r="E78" s="112"/>
      <c r="F78" s="112"/>
      <c r="G78" s="112"/>
      <c r="K78" s="1"/>
    </row>
    <row r="79" spans="1:11" x14ac:dyDescent="0.2">
      <c r="A79" s="262" t="s">
        <v>99</v>
      </c>
      <c r="B79" s="127">
        <f>B78*B77</f>
        <v>395.20000000000005</v>
      </c>
      <c r="C79" s="119"/>
      <c r="D79" s="261"/>
      <c r="E79" s="112"/>
      <c r="F79" s="112"/>
      <c r="G79" s="112"/>
    </row>
    <row r="80" spans="1:11" x14ac:dyDescent="0.2">
      <c r="A80" s="126" t="s">
        <v>74</v>
      </c>
      <c r="B80" s="128">
        <f>Admin_HourlyRate</f>
        <v>35.315799999999996</v>
      </c>
      <c r="C80" s="119">
        <f>B77*B78*B80</f>
        <v>13956.80416</v>
      </c>
      <c r="D80" s="261"/>
      <c r="E80" s="112"/>
      <c r="F80" s="112"/>
      <c r="G80" s="112"/>
    </row>
    <row r="81" spans="1:86" x14ac:dyDescent="0.2">
      <c r="A81" s="112"/>
      <c r="B81" s="119"/>
      <c r="C81" s="119"/>
      <c r="D81" s="261"/>
      <c r="E81" s="112"/>
      <c r="F81" s="112"/>
      <c r="G81" s="112"/>
    </row>
    <row r="82" spans="1:86" x14ac:dyDescent="0.2">
      <c r="A82" s="261" t="s">
        <v>50</v>
      </c>
      <c r="B82" s="112"/>
      <c r="C82" s="119">
        <v>120</v>
      </c>
      <c r="D82" s="261" t="s">
        <v>125</v>
      </c>
      <c r="E82" s="112"/>
      <c r="F82" s="112"/>
      <c r="G82" s="112"/>
    </row>
    <row r="83" spans="1:86" x14ac:dyDescent="0.2">
      <c r="A83" s="261" t="s">
        <v>51</v>
      </c>
      <c r="B83" s="112"/>
      <c r="C83" s="119">
        <v>100</v>
      </c>
      <c r="D83" s="261"/>
      <c r="E83" s="112"/>
      <c r="F83" s="112"/>
      <c r="G83" s="112"/>
    </row>
    <row r="84" spans="1:86" x14ac:dyDescent="0.2">
      <c r="A84" s="261" t="s">
        <v>47</v>
      </c>
      <c r="B84" s="112"/>
      <c r="C84" s="119">
        <v>150</v>
      </c>
      <c r="D84" s="261"/>
      <c r="E84" s="112"/>
      <c r="F84" s="112"/>
      <c r="G84" s="112"/>
    </row>
    <row r="85" spans="1:86" x14ac:dyDescent="0.2">
      <c r="A85" s="261" t="s">
        <v>44</v>
      </c>
      <c r="B85" s="112"/>
      <c r="C85" s="119">
        <v>500</v>
      </c>
      <c r="D85" s="261"/>
      <c r="E85" s="112"/>
      <c r="F85" s="112"/>
      <c r="G85" s="112"/>
    </row>
    <row r="86" spans="1:86" x14ac:dyDescent="0.2">
      <c r="A86" s="261" t="s">
        <v>45</v>
      </c>
      <c r="B86" s="112"/>
      <c r="C86" s="119">
        <v>100</v>
      </c>
      <c r="D86" s="261"/>
      <c r="E86" s="267"/>
      <c r="F86" s="481" t="s">
        <v>65</v>
      </c>
      <c r="G86" s="482"/>
    </row>
    <row r="87" spans="1:86" x14ac:dyDescent="0.2">
      <c r="A87" s="261" t="s">
        <v>19</v>
      </c>
      <c r="B87" s="112"/>
      <c r="C87" s="119">
        <v>400</v>
      </c>
      <c r="D87" s="261"/>
      <c r="E87" s="268" t="s">
        <v>238</v>
      </c>
      <c r="F87" s="269">
        <f>C53+C62+C74+C80</f>
        <v>31807.442736000001</v>
      </c>
      <c r="G87" s="270">
        <f>F87/(F87+F88)</f>
        <v>0.53537164482098076</v>
      </c>
    </row>
    <row r="88" spans="1:86" ht="15" x14ac:dyDescent="0.25">
      <c r="A88" s="261"/>
      <c r="B88" s="112"/>
      <c r="C88" s="129"/>
      <c r="D88" s="261"/>
      <c r="E88" s="271" t="s">
        <v>134</v>
      </c>
      <c r="F88" s="269">
        <f>SUM(C65,C90,C91)-F87</f>
        <v>27604.45</v>
      </c>
      <c r="G88" s="270">
        <f>F88/(F88+F87)</f>
        <v>0.46462835517901924</v>
      </c>
    </row>
    <row r="89" spans="1:86" ht="13.5" thickBot="1" x14ac:dyDescent="0.25">
      <c r="A89" s="112"/>
      <c r="B89" s="112"/>
      <c r="C89" s="113"/>
      <c r="D89" s="261"/>
      <c r="E89" s="271"/>
      <c r="F89" s="272">
        <f>F87+F88</f>
        <v>59411.892736000002</v>
      </c>
      <c r="G89" s="266"/>
    </row>
    <row r="90" spans="1:86" ht="14.25" thickTop="1" thickBot="1" x14ac:dyDescent="0.25">
      <c r="A90" s="111" t="s">
        <v>63</v>
      </c>
      <c r="B90" s="112"/>
      <c r="C90" s="125">
        <f>SUM(C68:C87)</f>
        <v>24036.758576</v>
      </c>
      <c r="D90" s="112"/>
      <c r="E90" s="273"/>
      <c r="F90" s="274"/>
      <c r="G90" s="275"/>
    </row>
    <row r="91" spans="1:86" x14ac:dyDescent="0.2">
      <c r="A91" s="261" t="s">
        <v>127</v>
      </c>
      <c r="B91" s="112" t="s">
        <v>136</v>
      </c>
      <c r="C91" s="119">
        <v>500</v>
      </c>
      <c r="D91" s="276"/>
      <c r="E91" s="261"/>
      <c r="F91" s="130"/>
      <c r="G91" s="287"/>
    </row>
    <row r="92" spans="1:86" ht="15" x14ac:dyDescent="0.25">
      <c r="B92" s="112"/>
      <c r="C92" s="131"/>
      <c r="D92" s="276"/>
      <c r="E92" s="112"/>
      <c r="F92" s="112"/>
      <c r="G92" s="112"/>
    </row>
    <row r="93" spans="1:86" ht="15.75" thickBot="1" x14ac:dyDescent="0.3">
      <c r="A93" s="111" t="s">
        <v>80</v>
      </c>
      <c r="B93" s="112"/>
      <c r="C93" s="277">
        <f>C65+C90+C91</f>
        <v>59411.892736000002</v>
      </c>
      <c r="D93" s="112"/>
      <c r="E93" s="112"/>
      <c r="F93" s="112"/>
      <c r="G93" s="112"/>
    </row>
    <row r="94" spans="1:86" ht="15.75" thickTop="1" x14ac:dyDescent="0.25">
      <c r="A94" s="19" t="s">
        <v>239</v>
      </c>
      <c r="B94" s="6"/>
      <c r="C94" s="278">
        <f>(SUM(C33:C36)+C43+C44+C46+C47+C54+C56+C55)</f>
        <v>16084.449999999999</v>
      </c>
      <c r="D94" s="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</row>
    <row r="95" spans="1:86" ht="15" x14ac:dyDescent="0.25">
      <c r="A95" s="38"/>
      <c r="B95" s="39"/>
      <c r="C95" s="40"/>
      <c r="D95" s="40"/>
      <c r="E95" s="38"/>
    </row>
    <row r="96" spans="1:86" x14ac:dyDescent="0.2">
      <c r="A96" s="1"/>
      <c r="B96" s="8"/>
      <c r="D96" s="2"/>
    </row>
    <row r="97" spans="1:256" x14ac:dyDescent="0.2">
      <c r="A97" s="1" t="s">
        <v>64</v>
      </c>
      <c r="C97" s="8" t="s">
        <v>27</v>
      </c>
      <c r="D97" s="2"/>
    </row>
    <row r="98" spans="1:256" ht="15" x14ac:dyDescent="0.25">
      <c r="A98" s="253"/>
      <c r="B98" s="41"/>
      <c r="C98" s="8"/>
      <c r="D98" s="211" t="s">
        <v>66</v>
      </c>
      <c r="I98" s="301" t="s">
        <v>83</v>
      </c>
      <c r="J98" s="302"/>
      <c r="K98" s="302"/>
      <c r="L98" s="302"/>
      <c r="M98" s="302"/>
      <c r="N98" s="302"/>
    </row>
    <row r="99" spans="1:256" x14ac:dyDescent="0.2">
      <c r="A99" s="253"/>
      <c r="B99" s="48"/>
      <c r="C99" s="8"/>
      <c r="D99" s="279" t="s">
        <v>181</v>
      </c>
      <c r="I99" s="303"/>
      <c r="J99" s="304" t="s">
        <v>168</v>
      </c>
      <c r="K99" s="304" t="s">
        <v>187</v>
      </c>
      <c r="L99" s="304" t="s">
        <v>219</v>
      </c>
      <c r="M99" s="304" t="s">
        <v>188</v>
      </c>
      <c r="N99" s="305" t="s">
        <v>249</v>
      </c>
    </row>
    <row r="100" spans="1:256" x14ac:dyDescent="0.2">
      <c r="A100" s="253" t="s">
        <v>83</v>
      </c>
      <c r="B100" s="312" t="e">
        <f ca="1">OFFSET($I$99,MATCH('GA Model'!$C$7,$I$100:$I$101,0),MATCH('GA Model'!$C$3,$J$99:$N$99,0))</f>
        <v>#N/A</v>
      </c>
      <c r="C100" s="8"/>
      <c r="D100" s="211"/>
      <c r="I100" s="306" t="s">
        <v>65</v>
      </c>
      <c r="J100" s="307">
        <v>0.25</v>
      </c>
      <c r="K100" s="307">
        <v>0.25</v>
      </c>
      <c r="L100" s="307">
        <v>0.42</v>
      </c>
      <c r="M100" s="307">
        <v>0.42</v>
      </c>
      <c r="N100" s="308">
        <v>0.52</v>
      </c>
    </row>
    <row r="101" spans="1:256" x14ac:dyDescent="0.2">
      <c r="A101" s="253" t="s">
        <v>81</v>
      </c>
      <c r="B101" s="280">
        <v>1.45</v>
      </c>
      <c r="C101" s="256"/>
      <c r="D101" s="211"/>
      <c r="I101" s="309" t="s">
        <v>250</v>
      </c>
      <c r="J101" s="310">
        <v>0.28000000000000003</v>
      </c>
      <c r="K101" s="310">
        <v>0.28000000000000003</v>
      </c>
      <c r="L101" s="310">
        <v>0.45</v>
      </c>
      <c r="M101" s="310">
        <v>0.45</v>
      </c>
      <c r="N101" s="311">
        <v>0.55000000000000004</v>
      </c>
    </row>
    <row r="102" spans="1:256" x14ac:dyDescent="0.2">
      <c r="A102" s="253" t="s">
        <v>82</v>
      </c>
      <c r="B102" s="281">
        <v>0.154</v>
      </c>
      <c r="C102" s="256"/>
      <c r="D102" s="211"/>
    </row>
    <row r="103" spans="1:256" ht="15" x14ac:dyDescent="0.25">
      <c r="A103" s="253" t="s">
        <v>89</v>
      </c>
      <c r="B103" s="49" t="e">
        <f ca="1">(B101-B102)/(1/B100)</f>
        <v>#N/A</v>
      </c>
      <c r="C103" s="288" t="e">
        <f ca="1">(B101-B102)*B100</f>
        <v>#N/A</v>
      </c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  <c r="IL103" s="42"/>
      <c r="IM103" s="42"/>
      <c r="IN103" s="42"/>
      <c r="IO103" s="42"/>
      <c r="IP103" s="42"/>
      <c r="IQ103" s="42"/>
      <c r="IR103" s="42"/>
      <c r="IS103" s="42"/>
      <c r="IT103" s="42"/>
      <c r="IU103" s="42"/>
      <c r="IV103" s="42"/>
    </row>
    <row r="104" spans="1:256" ht="15" x14ac:dyDescent="0.25">
      <c r="B104" s="48"/>
      <c r="D104" s="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  <c r="IL104" s="42"/>
      <c r="IM104" s="42"/>
      <c r="IN104" s="42"/>
      <c r="IO104" s="42"/>
      <c r="IP104" s="42"/>
      <c r="IQ104" s="42"/>
      <c r="IR104" s="42"/>
      <c r="IS104" s="42"/>
      <c r="IT104" s="42"/>
      <c r="IU104" s="42"/>
      <c r="IV104" s="42"/>
    </row>
    <row r="105" spans="1:256" ht="15" x14ac:dyDescent="0.25">
      <c r="A105" s="1" t="s">
        <v>67</v>
      </c>
      <c r="B105" s="48"/>
      <c r="C105" s="20"/>
      <c r="D105" s="279" t="s">
        <v>68</v>
      </c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  <c r="IL105" s="42"/>
      <c r="IM105" s="42"/>
      <c r="IN105" s="42"/>
      <c r="IO105" s="42"/>
      <c r="IP105" s="42"/>
      <c r="IQ105" s="42"/>
      <c r="IR105" s="42"/>
      <c r="IS105" s="42"/>
      <c r="IT105" s="42"/>
      <c r="IU105" s="42"/>
      <c r="IV105" s="42"/>
    </row>
    <row r="106" spans="1:256" x14ac:dyDescent="0.2">
      <c r="A106" s="253" t="s">
        <v>84</v>
      </c>
      <c r="B106" s="46" t="e">
        <f>('GA Model'!C9/'GA Model'!C5)</f>
        <v>#DIV/0!</v>
      </c>
      <c r="D106" s="2"/>
    </row>
    <row r="107" spans="1:256" ht="15" x14ac:dyDescent="0.25">
      <c r="A107" s="253" t="s">
        <v>85</v>
      </c>
      <c r="B107" s="283">
        <v>0.72</v>
      </c>
      <c r="C107" s="20"/>
      <c r="D107" s="289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  <c r="IL107" s="42"/>
      <c r="IM107" s="42"/>
      <c r="IN107" s="42"/>
      <c r="IO107" s="42"/>
      <c r="IP107" s="42"/>
      <c r="IQ107" s="42"/>
      <c r="IR107" s="42"/>
      <c r="IS107" s="42"/>
      <c r="IT107" s="42"/>
      <c r="IU107" s="42"/>
      <c r="IV107" s="42"/>
    </row>
    <row r="108" spans="1:256" ht="15" x14ac:dyDescent="0.25">
      <c r="A108" s="253" t="s">
        <v>86</v>
      </c>
      <c r="B108" s="48">
        <f>5/100</f>
        <v>0.05</v>
      </c>
      <c r="D108" s="279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  <c r="IL108" s="42"/>
      <c r="IM108" s="42"/>
      <c r="IN108" s="42"/>
      <c r="IO108" s="42"/>
      <c r="IP108" s="42"/>
      <c r="IQ108" s="42"/>
      <c r="IR108" s="42"/>
      <c r="IS108" s="42"/>
      <c r="IT108" s="42"/>
      <c r="IU108" s="42"/>
      <c r="IV108" s="42"/>
    </row>
    <row r="109" spans="1:256" ht="15" x14ac:dyDescent="0.25">
      <c r="A109" s="253" t="s">
        <v>87</v>
      </c>
      <c r="B109" s="49" t="e">
        <f>B107*B108*B106</f>
        <v>#DIV/0!</v>
      </c>
      <c r="C109" s="47"/>
      <c r="D109" s="279" t="s">
        <v>88</v>
      </c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  <c r="IL109" s="42"/>
      <c r="IM109" s="42"/>
      <c r="IN109" s="42"/>
      <c r="IO109" s="42"/>
      <c r="IP109" s="42"/>
      <c r="IQ109" s="42"/>
      <c r="IR109" s="42"/>
      <c r="IS109" s="42"/>
      <c r="IT109" s="42"/>
      <c r="IU109" s="42"/>
      <c r="IV109" s="42"/>
    </row>
    <row r="110" spans="1:256" x14ac:dyDescent="0.2">
      <c r="A110" s="253"/>
      <c r="B110" s="50"/>
      <c r="C110" s="47"/>
      <c r="D110" s="279"/>
    </row>
    <row r="111" spans="1:256" x14ac:dyDescent="0.2">
      <c r="A111" s="211" t="s">
        <v>90</v>
      </c>
      <c r="B111" s="282" t="e">
        <f ca="1">OFFSET($I$112,MATCH('GA Model'!$C$8,$I$113:$I$114,0),MATCH('GA Model'!$C$3,$J$112:$N$112,0))</f>
        <v>#N/A</v>
      </c>
      <c r="D111" s="279"/>
      <c r="I111" s="301" t="s">
        <v>251</v>
      </c>
      <c r="J111" s="302"/>
      <c r="K111" s="302"/>
      <c r="L111" s="302"/>
      <c r="M111" s="302"/>
      <c r="N111" s="302"/>
    </row>
    <row r="112" spans="1:256" ht="15" x14ac:dyDescent="0.25">
      <c r="A112" s="211"/>
      <c r="C112" s="43"/>
      <c r="D112" s="2"/>
      <c r="I112" s="303"/>
      <c r="J112" s="304" t="s">
        <v>168</v>
      </c>
      <c r="K112" s="304" t="s">
        <v>187</v>
      </c>
      <c r="L112" s="304" t="s">
        <v>219</v>
      </c>
      <c r="M112" s="304" t="s">
        <v>188</v>
      </c>
      <c r="N112" s="305" t="s">
        <v>249</v>
      </c>
    </row>
    <row r="113" spans="1:14" ht="13.5" thickBot="1" x14ac:dyDescent="0.25">
      <c r="A113" s="253" t="s">
        <v>91</v>
      </c>
      <c r="C113" s="51" t="e">
        <f ca="1">B103+B109+B111</f>
        <v>#N/A</v>
      </c>
      <c r="D113" s="2"/>
      <c r="I113" s="306" t="s">
        <v>65</v>
      </c>
      <c r="J113" s="307">
        <v>0.51500000000000001</v>
      </c>
      <c r="K113" s="307">
        <v>0.51500000000000001</v>
      </c>
      <c r="L113" s="307">
        <v>0.64500000000000002</v>
      </c>
      <c r="M113" s="307">
        <v>0.64500000000000002</v>
      </c>
      <c r="N113" s="308">
        <v>0.79500000000000004</v>
      </c>
    </row>
    <row r="114" spans="1:14" ht="13.5" thickTop="1" x14ac:dyDescent="0.2">
      <c r="A114" s="253"/>
      <c r="C114" s="133"/>
      <c r="D114" s="2"/>
      <c r="I114" s="309" t="s">
        <v>250</v>
      </c>
      <c r="J114" s="310">
        <v>0.54500000000000004</v>
      </c>
      <c r="K114" s="310">
        <v>0.54500000000000004</v>
      </c>
      <c r="L114" s="310">
        <v>0.67500000000000004</v>
      </c>
      <c r="M114" s="310">
        <v>0.67500000000000004</v>
      </c>
      <c r="N114" s="311">
        <v>0.82499999999999996</v>
      </c>
    </row>
    <row r="115" spans="1:14" x14ac:dyDescent="0.2">
      <c r="A115" s="253" t="s">
        <v>167</v>
      </c>
      <c r="C115" s="284">
        <v>0.68</v>
      </c>
      <c r="D115" s="2"/>
    </row>
    <row r="116" spans="1:14" x14ac:dyDescent="0.2">
      <c r="A116" s="211"/>
      <c r="D116" s="2"/>
    </row>
    <row r="117" spans="1:14" ht="15" x14ac:dyDescent="0.25">
      <c r="A117" s="38"/>
      <c r="B117" s="39"/>
      <c r="C117" s="40"/>
      <c r="D117" s="40"/>
      <c r="E117" s="38"/>
    </row>
    <row r="118" spans="1:14" ht="15.75" thickBot="1" x14ac:dyDescent="0.3">
      <c r="A118" s="19"/>
      <c r="D118" s="2"/>
    </row>
    <row r="119" spans="1:14" x14ac:dyDescent="0.2">
      <c r="A119" s="9" t="s">
        <v>30</v>
      </c>
      <c r="B119" s="10"/>
      <c r="C119" s="27"/>
      <c r="D119" s="24"/>
      <c r="E119" s="11"/>
    </row>
    <row r="120" spans="1:14" x14ac:dyDescent="0.2">
      <c r="A120" s="12" t="s">
        <v>4</v>
      </c>
      <c r="B120" s="13"/>
      <c r="C120" s="28"/>
      <c r="D120" s="25"/>
      <c r="E120" s="15"/>
    </row>
    <row r="121" spans="1:14" x14ac:dyDescent="0.2">
      <c r="A121" s="12" t="s">
        <v>13</v>
      </c>
      <c r="B121" s="32">
        <v>0</v>
      </c>
      <c r="C121" s="28"/>
      <c r="D121" s="25"/>
      <c r="E121" s="285" t="s">
        <v>73</v>
      </c>
    </row>
    <row r="122" spans="1:14" x14ac:dyDescent="0.2">
      <c r="A122" s="12" t="s">
        <v>22</v>
      </c>
      <c r="C122" s="14">
        <v>25</v>
      </c>
      <c r="D122" s="25"/>
      <c r="E122" s="286" t="s">
        <v>132</v>
      </c>
    </row>
    <row r="123" spans="1:14" x14ac:dyDescent="0.2">
      <c r="A123" s="12" t="s">
        <v>16</v>
      </c>
      <c r="D123" s="25">
        <f>+B121*C122</f>
        <v>0</v>
      </c>
      <c r="E123" s="15"/>
    </row>
    <row r="124" spans="1:14" x14ac:dyDescent="0.2">
      <c r="A124" s="12" t="s">
        <v>5</v>
      </c>
      <c r="B124" s="13"/>
      <c r="C124" s="28"/>
      <c r="D124" s="25"/>
      <c r="E124" s="15"/>
    </row>
    <row r="125" spans="1:14" x14ac:dyDescent="0.2">
      <c r="A125" s="12" t="s">
        <v>14</v>
      </c>
      <c r="B125" s="32">
        <v>0</v>
      </c>
      <c r="C125" s="28"/>
      <c r="D125" s="25"/>
      <c r="E125" s="285" t="s">
        <v>73</v>
      </c>
    </row>
    <row r="126" spans="1:14" x14ac:dyDescent="0.2">
      <c r="A126" s="12" t="s">
        <v>15</v>
      </c>
      <c r="C126" s="14">
        <v>30</v>
      </c>
      <c r="D126" s="25"/>
      <c r="E126" s="286" t="s">
        <v>132</v>
      </c>
    </row>
    <row r="127" spans="1:14" x14ac:dyDescent="0.2">
      <c r="A127" s="12" t="s">
        <v>16</v>
      </c>
      <c r="D127" s="25">
        <f>+B125*C126</f>
        <v>0</v>
      </c>
      <c r="E127" s="15"/>
    </row>
    <row r="128" spans="1:14" x14ac:dyDescent="0.2">
      <c r="A128" s="12"/>
      <c r="B128" s="13"/>
      <c r="C128" s="28"/>
      <c r="D128" s="26"/>
      <c r="E128" s="15"/>
    </row>
    <row r="129" spans="1:256" x14ac:dyDescent="0.2">
      <c r="A129" s="12"/>
      <c r="B129" s="13"/>
      <c r="C129" s="28"/>
      <c r="D129" s="25"/>
      <c r="E129" s="15"/>
    </row>
    <row r="130" spans="1:256" ht="13.5" thickBot="1" x14ac:dyDescent="0.25">
      <c r="A130" s="16" t="s">
        <v>23</v>
      </c>
      <c r="B130" s="17"/>
      <c r="C130" s="29"/>
      <c r="D130" s="31">
        <f>SUM(D123:D129)</f>
        <v>0</v>
      </c>
      <c r="E130" s="18"/>
    </row>
    <row r="131" spans="1:256" x14ac:dyDescent="0.2">
      <c r="A131" s="44"/>
      <c r="B131" s="13"/>
      <c r="C131" s="28"/>
      <c r="D131" s="45"/>
      <c r="E131" s="13"/>
    </row>
    <row r="132" spans="1:256" ht="15" x14ac:dyDescent="0.25">
      <c r="A132" s="38"/>
      <c r="B132" s="39"/>
      <c r="C132" s="40"/>
      <c r="D132" s="40"/>
      <c r="E132" s="38"/>
    </row>
    <row r="133" spans="1:256" x14ac:dyDescent="0.2">
      <c r="A133" s="21"/>
      <c r="B133" s="3"/>
    </row>
    <row r="135" spans="1:256" ht="15.75" x14ac:dyDescent="0.25">
      <c r="N135" s="56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</row>
    <row r="136" spans="1:256" ht="15.75" x14ac:dyDescent="0.25">
      <c r="N136" s="56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</row>
    <row r="137" spans="1:256" ht="15.75" x14ac:dyDescent="0.25">
      <c r="N137" s="56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</row>
    <row r="138" spans="1:256" ht="15.75" x14ac:dyDescent="0.25">
      <c r="N138" s="56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ht="15.75" x14ac:dyDescent="0.25">
      <c r="N139" s="56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ht="15.75" x14ac:dyDescent="0.25">
      <c r="N140" s="56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ht="15.75" x14ac:dyDescent="0.25">
      <c r="N141" s="56"/>
    </row>
    <row r="142" spans="1:256" ht="15.75" x14ac:dyDescent="0.25">
      <c r="N142" s="56"/>
    </row>
    <row r="143" spans="1:256" ht="15.75" x14ac:dyDescent="0.25">
      <c r="N143" s="56"/>
    </row>
    <row r="144" spans="1:256" ht="15.75" x14ac:dyDescent="0.25">
      <c r="N144" s="56"/>
    </row>
    <row r="145" spans="14:14" ht="15.75" x14ac:dyDescent="0.25">
      <c r="N145" s="56"/>
    </row>
    <row r="146" spans="14:14" ht="15.75" x14ac:dyDescent="0.25">
      <c r="N146" s="56"/>
    </row>
    <row r="147" spans="14:14" ht="15.75" x14ac:dyDescent="0.25">
      <c r="N147" s="56"/>
    </row>
    <row r="148" spans="14:14" ht="15.75" x14ac:dyDescent="0.25">
      <c r="N148" s="56"/>
    </row>
    <row r="149" spans="14:14" ht="15.75" x14ac:dyDescent="0.25">
      <c r="N149" s="56"/>
    </row>
    <row r="150" spans="14:14" ht="15.75" x14ac:dyDescent="0.25">
      <c r="N150" s="80"/>
    </row>
  </sheetData>
  <mergeCells count="2">
    <mergeCell ref="F86:G86"/>
    <mergeCell ref="E2:F2"/>
  </mergeCells>
  <pageMargins left="0.7" right="0.7" top="0.75" bottom="0.75" header="0.3" footer="0.3"/>
  <pageSetup paperSize="9" orientation="portrait" horizontalDpi="4294967293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O58"/>
  <sheetViews>
    <sheetView topLeftCell="B1" workbookViewId="0">
      <selection activeCell="B1" sqref="B1"/>
    </sheetView>
  </sheetViews>
  <sheetFormatPr defaultColWidth="8.85546875" defaultRowHeight="15.75" x14ac:dyDescent="0.25"/>
  <cols>
    <col min="1" max="1" width="35.140625" style="56" customWidth="1"/>
    <col min="2" max="2" width="18.5703125" style="56" customWidth="1"/>
    <col min="3" max="3" width="17.85546875" style="56" customWidth="1"/>
    <col min="4" max="5" width="20.7109375" style="56" customWidth="1"/>
    <col min="6" max="6" width="16.85546875" style="56" customWidth="1"/>
    <col min="7" max="7" width="14.42578125" style="57" customWidth="1"/>
    <col min="8" max="8" width="9" style="57" hidden="1" customWidth="1"/>
    <col min="9" max="9" width="12.5703125" style="57" hidden="1" customWidth="1"/>
    <col min="10" max="10" width="16.140625" style="56" hidden="1" customWidth="1"/>
    <col min="11" max="11" width="16.7109375" style="56" hidden="1" customWidth="1"/>
    <col min="12" max="12" width="15.28515625" style="56" hidden="1" customWidth="1"/>
    <col min="13" max="14" width="19.5703125" style="56" hidden="1" customWidth="1"/>
    <col min="15" max="15" width="15.7109375" style="56" hidden="1" customWidth="1"/>
    <col min="16" max="16384" width="8.85546875" style="56"/>
  </cols>
  <sheetData>
    <row r="1" spans="1:14" ht="15.6" customHeight="1" x14ac:dyDescent="0.25">
      <c r="A1" s="53" t="s">
        <v>104</v>
      </c>
      <c r="B1" s="54"/>
      <c r="C1" s="55"/>
    </row>
    <row r="2" spans="1:14" ht="15.6" customHeight="1" x14ac:dyDescent="0.25">
      <c r="A2" s="58"/>
      <c r="B2" s="135" t="s">
        <v>168</v>
      </c>
      <c r="C2" s="59" t="s">
        <v>187</v>
      </c>
      <c r="D2" s="59" t="s">
        <v>219</v>
      </c>
      <c r="E2" s="59" t="s">
        <v>188</v>
      </c>
      <c r="F2" s="60" t="s">
        <v>216</v>
      </c>
      <c r="G2" s="56"/>
      <c r="J2" s="61" t="s">
        <v>105</v>
      </c>
      <c r="K2" s="61"/>
      <c r="L2" s="231">
        <v>10</v>
      </c>
    </row>
    <row r="3" spans="1:14" ht="15.6" customHeight="1" x14ac:dyDescent="0.25">
      <c r="A3" s="63" t="s">
        <v>106</v>
      </c>
      <c r="B3" s="64">
        <v>0</v>
      </c>
      <c r="C3" s="64">
        <v>0</v>
      </c>
      <c r="D3" s="64">
        <v>0</v>
      </c>
      <c r="E3" s="64">
        <v>0</v>
      </c>
      <c r="F3" s="64">
        <v>0</v>
      </c>
      <c r="G3" s="65"/>
      <c r="H3" s="65"/>
      <c r="I3" s="65"/>
      <c r="J3" s="61" t="s">
        <v>107</v>
      </c>
      <c r="K3" s="61"/>
      <c r="L3" s="231">
        <v>20</v>
      </c>
    </row>
    <row r="4" spans="1:14" ht="15.6" customHeight="1" x14ac:dyDescent="0.25">
      <c r="A4" s="63" t="s">
        <v>108</v>
      </c>
      <c r="B4" s="64">
        <v>5</v>
      </c>
      <c r="C4" s="64">
        <v>10</v>
      </c>
      <c r="D4" s="64">
        <v>10</v>
      </c>
      <c r="E4" s="64">
        <v>10</v>
      </c>
      <c r="F4" s="64">
        <v>10</v>
      </c>
      <c r="G4" s="56"/>
      <c r="J4" s="61" t="s">
        <v>109</v>
      </c>
      <c r="K4" s="61"/>
      <c r="L4" s="231">
        <v>20</v>
      </c>
    </row>
    <row r="5" spans="1:14" ht="15.6" customHeight="1" x14ac:dyDescent="0.25">
      <c r="A5" s="63" t="s">
        <v>107</v>
      </c>
      <c r="B5" s="64">
        <v>10</v>
      </c>
      <c r="C5" s="64">
        <v>10</v>
      </c>
      <c r="D5" s="64">
        <v>10</v>
      </c>
      <c r="E5" s="64">
        <v>10</v>
      </c>
      <c r="F5" s="64">
        <v>10</v>
      </c>
      <c r="G5" s="56"/>
      <c r="J5" s="57"/>
      <c r="K5" s="57"/>
      <c r="L5" s="57"/>
    </row>
    <row r="6" spans="1:14" ht="15.6" customHeight="1" x14ac:dyDescent="0.25">
      <c r="A6" s="66" t="s">
        <v>110</v>
      </c>
      <c r="B6" s="67">
        <v>180000</v>
      </c>
      <c r="C6" s="67">
        <v>215000</v>
      </c>
      <c r="D6" s="67">
        <v>450000</v>
      </c>
      <c r="E6" s="67">
        <v>450000</v>
      </c>
      <c r="F6" s="67">
        <v>600000</v>
      </c>
      <c r="J6" s="57"/>
      <c r="K6" s="57"/>
      <c r="L6" s="57"/>
    </row>
    <row r="7" spans="1:14" ht="15.6" customHeight="1" x14ac:dyDescent="0.25">
      <c r="A7" s="66" t="s">
        <v>111</v>
      </c>
      <c r="B7" s="67">
        <v>0</v>
      </c>
      <c r="C7" s="67">
        <v>0</v>
      </c>
      <c r="D7" s="67">
        <v>0</v>
      </c>
      <c r="E7" s="67">
        <v>0</v>
      </c>
      <c r="F7" s="67">
        <v>0</v>
      </c>
      <c r="J7" s="57"/>
      <c r="K7" s="57"/>
      <c r="L7" s="57"/>
    </row>
    <row r="8" spans="1:14" ht="15.6" customHeight="1" x14ac:dyDescent="0.25">
      <c r="A8" s="66" t="s">
        <v>112</v>
      </c>
      <c r="B8" s="67">
        <f>B6+B7</f>
        <v>180000</v>
      </c>
      <c r="C8" s="67">
        <f>C6+C7</f>
        <v>215000</v>
      </c>
      <c r="D8" s="67">
        <f>D6+D7</f>
        <v>450000</v>
      </c>
      <c r="E8" s="67">
        <f>E6+E7</f>
        <v>450000</v>
      </c>
      <c r="F8" s="67">
        <f>F6+F7</f>
        <v>600000</v>
      </c>
      <c r="J8" s="57"/>
      <c r="K8" s="57"/>
      <c r="L8" s="57"/>
    </row>
    <row r="9" spans="1:14" ht="15.6" customHeight="1" x14ac:dyDescent="0.25">
      <c r="A9" s="63" t="s">
        <v>113</v>
      </c>
      <c r="B9" s="67">
        <f>B8*30%</f>
        <v>54000</v>
      </c>
      <c r="C9" s="67">
        <f>C8*30%</f>
        <v>64500</v>
      </c>
      <c r="D9" s="67">
        <f>D8*30%</f>
        <v>135000</v>
      </c>
      <c r="E9" s="67">
        <f>E8*30%</f>
        <v>135000</v>
      </c>
      <c r="F9" s="67">
        <f>F8*30%</f>
        <v>180000</v>
      </c>
      <c r="G9" s="388" t="s">
        <v>275</v>
      </c>
      <c r="J9" s="57"/>
      <c r="K9" s="57"/>
      <c r="L9" s="68"/>
    </row>
    <row r="10" spans="1:14" ht="15.6" customHeight="1" x14ac:dyDescent="0.25">
      <c r="A10" s="63" t="s">
        <v>114</v>
      </c>
      <c r="B10" s="67">
        <f>(B6-B9)/(B5-B3)</f>
        <v>12600</v>
      </c>
      <c r="C10" s="67">
        <f>(C6-C9)/(C5-C3)</f>
        <v>15050</v>
      </c>
      <c r="D10" s="67">
        <f>(D6-D9)/(D5-D3)</f>
        <v>31500</v>
      </c>
      <c r="E10" s="67">
        <f>(E6-E9)/(E5-E3)</f>
        <v>31500</v>
      </c>
      <c r="F10" s="67">
        <f>(F6-F9)/(F5-F3)</f>
        <v>42000</v>
      </c>
      <c r="G10" s="56"/>
      <c r="J10" s="57"/>
      <c r="K10" s="57"/>
    </row>
    <row r="11" spans="1:14" ht="15.6" customHeight="1" x14ac:dyDescent="0.25">
      <c r="A11" s="63" t="s">
        <v>115</v>
      </c>
      <c r="B11" s="69">
        <v>7.8700000000000006E-2</v>
      </c>
      <c r="C11" s="69">
        <v>7.8700000000000006E-2</v>
      </c>
      <c r="D11" s="69">
        <v>7.8700000000000006E-2</v>
      </c>
      <c r="E11" s="69">
        <v>7.8700000000000006E-2</v>
      </c>
      <c r="F11" s="69">
        <v>7.8700000000000006E-2</v>
      </c>
      <c r="G11" s="70"/>
      <c r="H11" s="70"/>
      <c r="I11" s="70"/>
      <c r="J11" s="70"/>
      <c r="K11" s="70"/>
    </row>
    <row r="12" spans="1:14" ht="15.6" customHeight="1" x14ac:dyDescent="0.25">
      <c r="A12" s="71" t="s">
        <v>116</v>
      </c>
      <c r="B12" s="69">
        <f>B11+1.5%</f>
        <v>9.3700000000000006E-2</v>
      </c>
      <c r="C12" s="69">
        <f>C11+1.5%</f>
        <v>9.3700000000000006E-2</v>
      </c>
      <c r="D12" s="69">
        <f>D11+1.5%</f>
        <v>9.3700000000000006E-2</v>
      </c>
      <c r="E12" s="69">
        <f>E11+1.5%</f>
        <v>9.3700000000000006E-2</v>
      </c>
      <c r="F12" s="69">
        <f>F11+1.5%</f>
        <v>9.3700000000000006E-2</v>
      </c>
      <c r="G12" s="56"/>
      <c r="J12" s="57"/>
      <c r="K12" s="57"/>
    </row>
    <row r="13" spans="1:14" ht="15.6" customHeight="1" x14ac:dyDescent="0.25">
      <c r="A13" s="182" t="s">
        <v>117</v>
      </c>
      <c r="B13" s="183">
        <v>0.88500000000000001</v>
      </c>
      <c r="C13" s="183">
        <v>0.88500000000000001</v>
      </c>
      <c r="D13" s="183">
        <v>0.88500000000000001</v>
      </c>
      <c r="E13" s="183">
        <v>0.88500000000000001</v>
      </c>
      <c r="F13" s="183">
        <v>0.88500000000000001</v>
      </c>
      <c r="G13" s="56"/>
      <c r="J13" s="57"/>
      <c r="K13" s="57"/>
    </row>
    <row r="14" spans="1:14" ht="15.6" customHeight="1" x14ac:dyDescent="0.25">
      <c r="A14" s="72" t="s">
        <v>118</v>
      </c>
      <c r="B14" s="73">
        <f>B11*B13+B12*(1-B13)</f>
        <v>8.0424999999999996E-2</v>
      </c>
      <c r="C14" s="73">
        <f>C11*C13+C12*(1-C13)</f>
        <v>8.0424999999999996E-2</v>
      </c>
      <c r="D14" s="387">
        <f>D11*D13+D12*(1-D13)</f>
        <v>8.0424999999999996E-2</v>
      </c>
      <c r="E14" s="73">
        <f>E11*E13+E12*(1-E13)</f>
        <v>8.0424999999999996E-2</v>
      </c>
      <c r="F14" s="73">
        <f>F11*F13+F12*(1-F13)</f>
        <v>8.0424999999999996E-2</v>
      </c>
      <c r="G14" s="56"/>
      <c r="J14" s="57"/>
      <c r="K14" s="57"/>
    </row>
    <row r="15" spans="1:14" ht="15.6" customHeight="1" x14ac:dyDescent="0.25">
      <c r="A15" s="74" t="s">
        <v>119</v>
      </c>
      <c r="B15" s="76"/>
      <c r="C15" s="2"/>
      <c r="D15" s="75"/>
      <c r="E15" s="75"/>
      <c r="G15" s="56"/>
      <c r="J15" s="57"/>
      <c r="K15" s="57"/>
    </row>
    <row r="16" spans="1:14" ht="15.6" customHeight="1" x14ac:dyDescent="0.25">
      <c r="A16" s="76"/>
      <c r="B16" s="76"/>
      <c r="C16" s="2"/>
      <c r="D16" s="75"/>
      <c r="E16" s="75"/>
      <c r="G16" s="56"/>
      <c r="J16" s="57"/>
      <c r="K16" s="484" t="s">
        <v>272</v>
      </c>
      <c r="L16" s="484"/>
      <c r="M16" s="484"/>
      <c r="N16" s="484"/>
    </row>
    <row r="17" spans="1:15" s="78" customFormat="1" ht="15.6" customHeight="1" x14ac:dyDescent="0.25">
      <c r="A17" s="77" t="s">
        <v>175</v>
      </c>
      <c r="B17" s="80"/>
      <c r="C17" s="2"/>
      <c r="F17" s="80"/>
      <c r="G17" s="79"/>
      <c r="H17" s="358" t="s">
        <v>269</v>
      </c>
      <c r="I17" s="359"/>
      <c r="J17" s="359"/>
      <c r="K17" s="359"/>
      <c r="L17" s="360"/>
      <c r="M17" s="358"/>
      <c r="N17" s="358"/>
      <c r="O17" s="358"/>
    </row>
    <row r="18" spans="1:15" ht="37.5" customHeight="1" x14ac:dyDescent="0.25">
      <c r="A18" s="82" t="s">
        <v>120</v>
      </c>
      <c r="B18" s="139" t="str">
        <f>B2</f>
        <v>Small</v>
      </c>
      <c r="C18" s="140" t="str">
        <f>C2</f>
        <v>Medium</v>
      </c>
      <c r="D18" s="83" t="str">
        <f>D2</f>
        <v>Large</v>
      </c>
      <c r="E18" s="83" t="str">
        <f>E2</f>
        <v>X-Large</v>
      </c>
      <c r="F18" s="83" t="str">
        <f>F2</f>
        <v>Artic</v>
      </c>
      <c r="G18" s="61"/>
      <c r="H18" s="361" t="s">
        <v>121</v>
      </c>
      <c r="I18" s="362" t="s">
        <v>122</v>
      </c>
      <c r="J18" s="363"/>
      <c r="K18" s="363" t="str">
        <f>B2</f>
        <v>Small</v>
      </c>
      <c r="L18" s="363" t="str">
        <f>C2</f>
        <v>Medium</v>
      </c>
      <c r="M18" s="363" t="str">
        <f>D2</f>
        <v>Large</v>
      </c>
      <c r="N18" s="363" t="str">
        <f>E2</f>
        <v>X-Large</v>
      </c>
      <c r="O18" s="364" t="str">
        <f>F2</f>
        <v>Artic</v>
      </c>
    </row>
    <row r="19" spans="1:15" ht="15.6" customHeight="1" x14ac:dyDescent="0.25">
      <c r="A19" s="88">
        <v>0</v>
      </c>
      <c r="B19" s="141">
        <f t="shared" ref="B19:B29" si="0">IF($A19&lt;=B$3,$B$8,IF($A19&lt;=B$5,($B$8-($B$8-$B$9)/($B$5-$B$3)*($A19-$B$3)),0))</f>
        <v>180000</v>
      </c>
      <c r="C19" s="89">
        <f t="shared" ref="C19:C29" si="1">IF($A19&lt;=C$3,$C$8,IF($A19&lt;=C$5,($C$8-($C$8-$C$9)/($C$5-$C$3)*($A19-$C$3)),0))</f>
        <v>215000</v>
      </c>
      <c r="D19" s="89">
        <f t="shared" ref="D19:D29" si="2">IF($A19&lt;=D$3,$D$8,IF($A19&lt;=D$5,($D$8-($D$8-$D$9)/($D$5-$D$3)*($A19-$D$3)),0))</f>
        <v>450000</v>
      </c>
      <c r="E19" s="89">
        <f t="shared" ref="E19:E29" si="3">IF($A19&lt;=E$3,$E$8,IF($A19&lt;=E$5,($E$8-($E$8-$E$9)/($E$5-$E$3)*($A19-$E$3)),0))</f>
        <v>450000</v>
      </c>
      <c r="F19" s="89">
        <f t="shared" ref="F19:F29" si="4">IF($A19&lt;=$F$3,$F$8,IF($A19&lt;=$F$5,($F$8-($F$8-$F$9)/($F$5-$F$3)*($A19-$F$3)),0))</f>
        <v>600000</v>
      </c>
      <c r="G19" s="56"/>
      <c r="H19" s="365">
        <v>0</v>
      </c>
      <c r="I19" s="366">
        <f t="shared" ref="I19:I28" si="5">IF($C$5-$C$3-$A19&gt;0,$C$5-$C$3-$A19,0)</f>
        <v>10</v>
      </c>
      <c r="J19" s="367" t="str">
        <f t="shared" ref="J19:J29" si="6">CONCATENATE(IF((I19)&lt;0,0,(I19))," payments of")</f>
        <v>10 payments of</v>
      </c>
      <c r="K19" s="368">
        <f t="shared" ref="K19:K28" si="7">IF(H19&lt;GA_Maximum_Age,(IF(I19&gt;0,PMT($B$14,I19,-B19,$B$9),0)),0)</f>
        <v>23156.677327767149</v>
      </c>
      <c r="L19" s="368">
        <f t="shared" ref="L19:L28" si="8">IF(H19&lt;GA_Maximum_Age,(IF(I19&gt;0,PMT($C$14,I19,-C19,$C$9),0)),0)</f>
        <v>27659.364585944095</v>
      </c>
      <c r="M19" s="368">
        <f t="shared" ref="M19:M28" si="9">IF(H19&lt;GA_Maximum_Age,(IF(I19&gt;0,PMT($D$14,I19,-D19,$D$9),0)),0)</f>
        <v>57891.693319417871</v>
      </c>
      <c r="N19" s="368">
        <f t="shared" ref="N19:N28" si="10">IF(H19&lt;GA_Maximum_Age,(IF(I19&gt;0,PMT($E$14,I19,-E19,$E$9),0)),0)</f>
        <v>57891.693319417871</v>
      </c>
      <c r="O19" s="369">
        <f t="shared" ref="O19:O28" si="11">IF(H19&lt;GA_Maximum_Age,(IF(I19&gt;0,PMT($F$14,I19,-F19,$F$9),0)),0)</f>
        <v>77188.924425890495</v>
      </c>
    </row>
    <row r="20" spans="1:15" ht="15.6" customHeight="1" x14ac:dyDescent="0.25">
      <c r="A20" s="88">
        <f t="shared" ref="A20:A29" si="12">A19+1</f>
        <v>1</v>
      </c>
      <c r="B20" s="141">
        <f t="shared" si="0"/>
        <v>167400</v>
      </c>
      <c r="C20" s="89">
        <f t="shared" si="1"/>
        <v>199950</v>
      </c>
      <c r="D20" s="89">
        <f t="shared" si="2"/>
        <v>418500</v>
      </c>
      <c r="E20" s="89">
        <f t="shared" si="3"/>
        <v>418500</v>
      </c>
      <c r="F20" s="89">
        <f t="shared" si="4"/>
        <v>558000</v>
      </c>
      <c r="G20" s="56"/>
      <c r="H20" s="365">
        <f t="shared" ref="H20:H29" si="13">H19+1</f>
        <v>1</v>
      </c>
      <c r="I20" s="366">
        <f t="shared" si="5"/>
        <v>9</v>
      </c>
      <c r="J20" s="367" t="str">
        <f t="shared" si="6"/>
        <v>9 payments of</v>
      </c>
      <c r="K20" s="368">
        <f t="shared" si="7"/>
        <v>22528.083853545653</v>
      </c>
      <c r="L20" s="368">
        <f t="shared" si="8"/>
        <v>26908.544602846196</v>
      </c>
      <c r="M20" s="368">
        <f t="shared" si="9"/>
        <v>56320.209633864135</v>
      </c>
      <c r="N20" s="368">
        <f t="shared" si="10"/>
        <v>56320.209633864135</v>
      </c>
      <c r="O20" s="369">
        <f t="shared" si="11"/>
        <v>75093.61284515218</v>
      </c>
    </row>
    <row r="21" spans="1:15" ht="15.6" customHeight="1" x14ac:dyDescent="0.25">
      <c r="A21" s="88">
        <f t="shared" si="12"/>
        <v>2</v>
      </c>
      <c r="B21" s="141">
        <f t="shared" si="0"/>
        <v>154800</v>
      </c>
      <c r="C21" s="89">
        <f t="shared" si="1"/>
        <v>184900</v>
      </c>
      <c r="D21" s="89">
        <f t="shared" si="2"/>
        <v>387000</v>
      </c>
      <c r="E21" s="89">
        <f t="shared" si="3"/>
        <v>387000</v>
      </c>
      <c r="F21" s="89">
        <f t="shared" si="4"/>
        <v>516000</v>
      </c>
      <c r="G21" s="56"/>
      <c r="H21" s="365">
        <f t="shared" si="13"/>
        <v>2</v>
      </c>
      <c r="I21" s="366">
        <f t="shared" si="5"/>
        <v>8</v>
      </c>
      <c r="J21" s="367" t="str">
        <f t="shared" si="6"/>
        <v>8 payments of</v>
      </c>
      <c r="K21" s="368">
        <f t="shared" si="7"/>
        <v>21911.93852883545</v>
      </c>
      <c r="L21" s="368">
        <f t="shared" si="8"/>
        <v>26172.593242775682</v>
      </c>
      <c r="M21" s="368">
        <f t="shared" si="9"/>
        <v>54779.846322088633</v>
      </c>
      <c r="N21" s="368">
        <f t="shared" si="10"/>
        <v>54779.846322088633</v>
      </c>
      <c r="O21" s="369">
        <f t="shared" si="11"/>
        <v>73039.795096118178</v>
      </c>
    </row>
    <row r="22" spans="1:15" ht="15.6" customHeight="1" x14ac:dyDescent="0.25">
      <c r="A22" s="88">
        <f t="shared" si="12"/>
        <v>3</v>
      </c>
      <c r="B22" s="141">
        <f t="shared" si="0"/>
        <v>142200</v>
      </c>
      <c r="C22" s="89">
        <f t="shared" si="1"/>
        <v>169850</v>
      </c>
      <c r="D22" s="89">
        <f t="shared" si="2"/>
        <v>355500</v>
      </c>
      <c r="E22" s="89">
        <f t="shared" si="3"/>
        <v>355500</v>
      </c>
      <c r="F22" s="89">
        <f t="shared" si="4"/>
        <v>474000</v>
      </c>
      <c r="G22" s="56"/>
      <c r="H22" s="365">
        <f t="shared" si="13"/>
        <v>3</v>
      </c>
      <c r="I22" s="366">
        <f t="shared" si="5"/>
        <v>7</v>
      </c>
      <c r="J22" s="367" t="str">
        <f t="shared" si="6"/>
        <v>7 payments of</v>
      </c>
      <c r="K22" s="368">
        <f t="shared" si="7"/>
        <v>21308.36754907047</v>
      </c>
      <c r="L22" s="368">
        <f t="shared" si="8"/>
        <v>25451.661239167504</v>
      </c>
      <c r="M22" s="368">
        <f t="shared" si="9"/>
        <v>53270.918872676171</v>
      </c>
      <c r="N22" s="368">
        <f t="shared" si="10"/>
        <v>53270.918872676171</v>
      </c>
      <c r="O22" s="369">
        <f t="shared" si="11"/>
        <v>71027.89183023489</v>
      </c>
    </row>
    <row r="23" spans="1:15" ht="15.6" customHeight="1" x14ac:dyDescent="0.25">
      <c r="A23" s="88">
        <f t="shared" si="12"/>
        <v>4</v>
      </c>
      <c r="B23" s="141">
        <f t="shared" si="0"/>
        <v>129600</v>
      </c>
      <c r="C23" s="89">
        <f t="shared" si="1"/>
        <v>154800</v>
      </c>
      <c r="D23" s="89">
        <f t="shared" si="2"/>
        <v>324000</v>
      </c>
      <c r="E23" s="89">
        <f t="shared" si="3"/>
        <v>324000</v>
      </c>
      <c r="F23" s="89">
        <f t="shared" si="4"/>
        <v>432000</v>
      </c>
      <c r="G23" s="56"/>
      <c r="H23" s="365">
        <f t="shared" si="13"/>
        <v>4</v>
      </c>
      <c r="I23" s="366">
        <f t="shared" si="5"/>
        <v>6</v>
      </c>
      <c r="J23" s="367" t="str">
        <f t="shared" si="6"/>
        <v>6 payments of</v>
      </c>
      <c r="K23" s="368">
        <f t="shared" si="7"/>
        <v>20717.483528651574</v>
      </c>
      <c r="L23" s="368">
        <f t="shared" si="8"/>
        <v>24745.883103667155</v>
      </c>
      <c r="M23" s="368">
        <f t="shared" si="9"/>
        <v>51793.708821628927</v>
      </c>
      <c r="N23" s="368">
        <f t="shared" si="10"/>
        <v>51793.708821628927</v>
      </c>
      <c r="O23" s="369">
        <f t="shared" si="11"/>
        <v>69058.278428838574</v>
      </c>
    </row>
    <row r="24" spans="1:15" ht="15.6" customHeight="1" x14ac:dyDescent="0.25">
      <c r="A24" s="88">
        <f t="shared" si="12"/>
        <v>5</v>
      </c>
      <c r="B24" s="141">
        <f t="shared" si="0"/>
        <v>117000</v>
      </c>
      <c r="C24" s="89">
        <f t="shared" si="1"/>
        <v>139750</v>
      </c>
      <c r="D24" s="89">
        <f t="shared" si="2"/>
        <v>292500</v>
      </c>
      <c r="E24" s="89">
        <f t="shared" si="3"/>
        <v>292500</v>
      </c>
      <c r="F24" s="89">
        <f t="shared" si="4"/>
        <v>390000</v>
      </c>
      <c r="G24" s="56"/>
      <c r="H24" s="365">
        <f t="shared" si="13"/>
        <v>5</v>
      </c>
      <c r="I24" s="366">
        <f t="shared" si="5"/>
        <v>5</v>
      </c>
      <c r="J24" s="367" t="str">
        <f t="shared" si="6"/>
        <v>5 payments of</v>
      </c>
      <c r="K24" s="368">
        <f t="shared" si="7"/>
        <v>20139.385038421886</v>
      </c>
      <c r="L24" s="368">
        <f t="shared" si="8"/>
        <v>24055.376573670586</v>
      </c>
      <c r="M24" s="368">
        <f t="shared" si="9"/>
        <v>50348.462596054713</v>
      </c>
      <c r="N24" s="368">
        <f t="shared" si="10"/>
        <v>50348.462596054713</v>
      </c>
      <c r="O24" s="369">
        <f t="shared" si="11"/>
        <v>67131.283461406289</v>
      </c>
    </row>
    <row r="25" spans="1:15" ht="15.6" customHeight="1" x14ac:dyDescent="0.25">
      <c r="A25" s="88">
        <f t="shared" si="12"/>
        <v>6</v>
      </c>
      <c r="B25" s="141">
        <f t="shared" si="0"/>
        <v>104400</v>
      </c>
      <c r="C25" s="89">
        <f t="shared" si="1"/>
        <v>124700</v>
      </c>
      <c r="D25" s="89">
        <f t="shared" si="2"/>
        <v>261000</v>
      </c>
      <c r="E25" s="89">
        <f t="shared" si="3"/>
        <v>261000</v>
      </c>
      <c r="F25" s="89">
        <f t="shared" si="4"/>
        <v>348000</v>
      </c>
      <c r="G25" s="56"/>
      <c r="H25" s="365">
        <f t="shared" si="13"/>
        <v>6</v>
      </c>
      <c r="I25" s="366">
        <f t="shared" si="5"/>
        <v>4</v>
      </c>
      <c r="J25" s="367" t="str">
        <f t="shared" si="6"/>
        <v>4 payments of</v>
      </c>
      <c r="K25" s="368">
        <f t="shared" si="7"/>
        <v>19574.156196892436</v>
      </c>
      <c r="L25" s="368">
        <f t="shared" si="8"/>
        <v>23380.242124065968</v>
      </c>
      <c r="M25" s="368">
        <f t="shared" si="9"/>
        <v>48935.390492231098</v>
      </c>
      <c r="N25" s="368">
        <f t="shared" si="10"/>
        <v>48935.390492231098</v>
      </c>
      <c r="O25" s="369">
        <f t="shared" si="11"/>
        <v>65247.187322974794</v>
      </c>
    </row>
    <row r="26" spans="1:15" ht="15.6" customHeight="1" x14ac:dyDescent="0.25">
      <c r="A26" s="88">
        <f t="shared" si="12"/>
        <v>7</v>
      </c>
      <c r="B26" s="141">
        <f t="shared" si="0"/>
        <v>91800</v>
      </c>
      <c r="C26" s="89">
        <f t="shared" si="1"/>
        <v>109650</v>
      </c>
      <c r="D26" s="89">
        <f t="shared" si="2"/>
        <v>229500</v>
      </c>
      <c r="E26" s="89">
        <f t="shared" si="3"/>
        <v>229500</v>
      </c>
      <c r="F26" s="89">
        <f t="shared" si="4"/>
        <v>306000</v>
      </c>
      <c r="G26" s="56"/>
      <c r="H26" s="365">
        <f t="shared" si="13"/>
        <v>7</v>
      </c>
      <c r="I26" s="366">
        <f t="shared" si="5"/>
        <v>3</v>
      </c>
      <c r="J26" s="367" t="str">
        <f t="shared" si="6"/>
        <v>3 payments of</v>
      </c>
      <c r="K26" s="368">
        <f t="shared" si="7"/>
        <v>19021.866318510267</v>
      </c>
      <c r="L26" s="368">
        <f t="shared" si="8"/>
        <v>22720.562547109486</v>
      </c>
      <c r="M26" s="368">
        <f t="shared" si="9"/>
        <v>47554.665796275665</v>
      </c>
      <c r="N26" s="368">
        <f t="shared" si="10"/>
        <v>47554.665796275665</v>
      </c>
      <c r="O26" s="369">
        <f t="shared" si="11"/>
        <v>63406.22106170089</v>
      </c>
    </row>
    <row r="27" spans="1:15" ht="15.6" customHeight="1" x14ac:dyDescent="0.25">
      <c r="A27" s="88">
        <f t="shared" si="12"/>
        <v>8</v>
      </c>
      <c r="B27" s="141">
        <f t="shared" si="0"/>
        <v>79200</v>
      </c>
      <c r="C27" s="89">
        <f t="shared" si="1"/>
        <v>94600</v>
      </c>
      <c r="D27" s="89">
        <f t="shared" si="2"/>
        <v>198000</v>
      </c>
      <c r="E27" s="89">
        <f t="shared" si="3"/>
        <v>198000</v>
      </c>
      <c r="F27" s="89">
        <f t="shared" si="4"/>
        <v>264000</v>
      </c>
      <c r="G27" s="56"/>
      <c r="H27" s="365">
        <f t="shared" si="13"/>
        <v>8</v>
      </c>
      <c r="I27" s="366">
        <f t="shared" si="5"/>
        <v>2</v>
      </c>
      <c r="J27" s="367" t="str">
        <f t="shared" si="6"/>
        <v>2 payments of</v>
      </c>
      <c r="K27" s="368">
        <f t="shared" si="7"/>
        <v>18482.569621832077</v>
      </c>
      <c r="L27" s="368">
        <f t="shared" si="8"/>
        <v>22076.402603854982</v>
      </c>
      <c r="M27" s="368">
        <f t="shared" si="9"/>
        <v>46206.424054580195</v>
      </c>
      <c r="N27" s="368">
        <f t="shared" si="10"/>
        <v>46206.424054580195</v>
      </c>
      <c r="O27" s="369">
        <f t="shared" si="11"/>
        <v>61608.565406106929</v>
      </c>
    </row>
    <row r="28" spans="1:15" ht="15.6" customHeight="1" x14ac:dyDescent="0.25">
      <c r="A28" s="88">
        <f t="shared" si="12"/>
        <v>9</v>
      </c>
      <c r="B28" s="141">
        <f t="shared" si="0"/>
        <v>66600</v>
      </c>
      <c r="C28" s="89">
        <f t="shared" si="1"/>
        <v>79550</v>
      </c>
      <c r="D28" s="89">
        <f t="shared" si="2"/>
        <v>166500</v>
      </c>
      <c r="E28" s="89">
        <f t="shared" si="3"/>
        <v>166500</v>
      </c>
      <c r="F28" s="89">
        <f t="shared" si="4"/>
        <v>222000</v>
      </c>
      <c r="G28" s="56"/>
      <c r="H28" s="365">
        <f t="shared" si="13"/>
        <v>9</v>
      </c>
      <c r="I28" s="366">
        <f t="shared" si="5"/>
        <v>1</v>
      </c>
      <c r="J28" s="367" t="str">
        <f t="shared" si="6"/>
        <v>1 payments of</v>
      </c>
      <c r="K28" s="368">
        <f t="shared" si="7"/>
        <v>17956.305</v>
      </c>
      <c r="L28" s="368">
        <f t="shared" si="8"/>
        <v>21447.80875</v>
      </c>
      <c r="M28" s="368">
        <f t="shared" si="9"/>
        <v>44890.762500000004</v>
      </c>
      <c r="N28" s="368">
        <f t="shared" si="10"/>
        <v>44890.762500000004</v>
      </c>
      <c r="O28" s="369">
        <f t="shared" si="11"/>
        <v>59854.350000000006</v>
      </c>
    </row>
    <row r="29" spans="1:15" ht="15.6" customHeight="1" x14ac:dyDescent="0.25">
      <c r="A29" s="95">
        <f t="shared" si="12"/>
        <v>10</v>
      </c>
      <c r="B29" s="142">
        <f t="shared" si="0"/>
        <v>54000</v>
      </c>
      <c r="C29" s="143">
        <f t="shared" si="1"/>
        <v>64500</v>
      </c>
      <c r="D29" s="143">
        <f t="shared" si="2"/>
        <v>135000</v>
      </c>
      <c r="E29" s="143">
        <f t="shared" si="3"/>
        <v>135000</v>
      </c>
      <c r="F29" s="143">
        <f t="shared" si="4"/>
        <v>180000</v>
      </c>
      <c r="G29" s="56"/>
      <c r="H29" s="370">
        <f t="shared" si="13"/>
        <v>10</v>
      </c>
      <c r="I29" s="366">
        <v>1</v>
      </c>
      <c r="J29" s="371" t="str">
        <f t="shared" si="6"/>
        <v>1 payments of</v>
      </c>
      <c r="K29" s="372">
        <v>17956.305</v>
      </c>
      <c r="L29" s="372">
        <v>21447.80875</v>
      </c>
      <c r="M29" s="372">
        <v>44890.762500000004</v>
      </c>
      <c r="N29" s="368">
        <v>44890.762500000004</v>
      </c>
      <c r="O29" s="373">
        <v>59854.350000000006</v>
      </c>
    </row>
    <row r="30" spans="1:15" ht="15.6" customHeight="1" x14ac:dyDescent="0.25">
      <c r="A30" s="61"/>
      <c r="B30" s="98"/>
      <c r="C30" s="98"/>
      <c r="D30" s="61"/>
      <c r="E30" s="61"/>
      <c r="F30" s="61"/>
      <c r="G30" s="92"/>
      <c r="H30" s="374"/>
      <c r="I30" s="367"/>
      <c r="J30" s="375"/>
      <c r="K30" s="375"/>
      <c r="L30" s="374"/>
      <c r="M30" s="376"/>
      <c r="N30" s="376"/>
      <c r="O30" s="375"/>
    </row>
    <row r="31" spans="1:15" ht="15.6" customHeight="1" x14ac:dyDescent="0.25">
      <c r="A31" s="61"/>
      <c r="B31" s="98"/>
      <c r="C31" s="98"/>
      <c r="D31" s="61"/>
      <c r="E31" s="61"/>
      <c r="F31" s="61"/>
      <c r="G31" s="92"/>
      <c r="H31" s="374"/>
      <c r="I31" s="367"/>
      <c r="J31" s="375"/>
      <c r="K31" s="374"/>
      <c r="L31" s="376"/>
      <c r="M31" s="375"/>
      <c r="N31" s="375"/>
      <c r="O31" s="377"/>
    </row>
    <row r="32" spans="1:15" ht="15.6" customHeight="1" x14ac:dyDescent="0.25">
      <c r="A32" s="61"/>
      <c r="B32" s="98"/>
      <c r="C32" s="98"/>
      <c r="D32" s="61"/>
      <c r="E32" s="61"/>
      <c r="F32" s="61"/>
      <c r="G32" s="92"/>
      <c r="H32" s="374"/>
      <c r="I32" s="367"/>
      <c r="J32" s="375"/>
      <c r="K32" s="374"/>
      <c r="L32" s="376"/>
      <c r="M32" s="375"/>
      <c r="N32" s="375"/>
      <c r="O32" s="377"/>
    </row>
    <row r="33" spans="1:15" s="145" customFormat="1" ht="15.6" customHeight="1" x14ac:dyDescent="0.25">
      <c r="G33" s="146"/>
      <c r="H33" s="378"/>
      <c r="I33" s="378"/>
      <c r="J33" s="377"/>
      <c r="K33" s="377"/>
      <c r="L33" s="377"/>
      <c r="M33" s="377"/>
      <c r="N33" s="377"/>
      <c r="O33" s="377"/>
    </row>
    <row r="34" spans="1:15" ht="15.6" customHeight="1" x14ac:dyDescent="0.25">
      <c r="A34" s="61"/>
      <c r="B34" s="98"/>
      <c r="C34" s="98"/>
      <c r="D34" s="147"/>
      <c r="E34" s="147"/>
      <c r="F34" s="61"/>
      <c r="H34" s="378"/>
      <c r="I34" s="378"/>
      <c r="J34" s="377"/>
      <c r="K34" s="377"/>
      <c r="L34" s="379"/>
      <c r="M34" s="377"/>
      <c r="N34" s="377"/>
      <c r="O34" s="377"/>
    </row>
    <row r="35" spans="1:15" ht="15.6" customHeight="1" x14ac:dyDescent="0.25">
      <c r="A35" s="61"/>
      <c r="B35" s="98"/>
      <c r="C35" s="98"/>
      <c r="D35" s="147"/>
      <c r="E35" s="147"/>
      <c r="F35" s="61"/>
      <c r="G35" s="148"/>
      <c r="H35" s="380"/>
      <c r="I35" s="380"/>
      <c r="J35" s="377"/>
      <c r="K35" s="377"/>
      <c r="L35" s="377"/>
      <c r="M35" s="377"/>
      <c r="N35" s="377"/>
      <c r="O35" s="377"/>
    </row>
    <row r="36" spans="1:15" ht="15.6" customHeight="1" x14ac:dyDescent="0.25">
      <c r="A36" s="342" t="s">
        <v>175</v>
      </c>
      <c r="B36" s="343"/>
      <c r="C36" s="344"/>
      <c r="D36" s="345"/>
      <c r="E36" s="345"/>
      <c r="F36" s="343"/>
      <c r="G36" s="345"/>
      <c r="H36" s="381" t="s">
        <v>269</v>
      </c>
      <c r="I36" s="382"/>
      <c r="J36" s="382"/>
      <c r="K36" s="382"/>
      <c r="L36" s="383"/>
      <c r="M36" s="381"/>
      <c r="N36" s="381"/>
      <c r="O36" s="384"/>
    </row>
    <row r="37" spans="1:15" ht="15.6" customHeight="1" x14ac:dyDescent="0.25">
      <c r="A37" s="82" t="s">
        <v>120</v>
      </c>
      <c r="B37" s="139" t="str">
        <f>B18</f>
        <v>Small</v>
      </c>
      <c r="C37" s="139" t="str">
        <f t="shared" ref="C37:F37" si="14">C18</f>
        <v>Medium</v>
      </c>
      <c r="D37" s="139" t="str">
        <f t="shared" si="14"/>
        <v>Large</v>
      </c>
      <c r="E37" s="139" t="str">
        <f t="shared" si="14"/>
        <v>X-Large</v>
      </c>
      <c r="F37" s="82" t="str">
        <f t="shared" si="14"/>
        <v>Artic</v>
      </c>
      <c r="G37" s="61"/>
      <c r="H37" s="361" t="s">
        <v>121</v>
      </c>
      <c r="I37" s="362" t="s">
        <v>122</v>
      </c>
      <c r="J37" s="363"/>
      <c r="K37" s="363" t="str">
        <f>K18</f>
        <v>Small</v>
      </c>
      <c r="L37" s="363" t="str">
        <f t="shared" ref="L37:O37" si="15">L18</f>
        <v>Medium</v>
      </c>
      <c r="M37" s="363" t="str">
        <f t="shared" si="15"/>
        <v>Large</v>
      </c>
      <c r="N37" s="363" t="str">
        <f t="shared" si="15"/>
        <v>X-Large</v>
      </c>
      <c r="O37" s="385" t="str">
        <f t="shared" si="15"/>
        <v>Artic</v>
      </c>
    </row>
    <row r="38" spans="1:15" ht="15.6" customHeight="1" x14ac:dyDescent="0.25">
      <c r="A38" s="88">
        <v>11</v>
      </c>
      <c r="B38" s="141">
        <f t="shared" ref="B38:B47" si="16">IF($A38&lt;=10,$B$8,IF($A38&lt;=B$5,($B$8-($B$8-$B$9)/($B$5-$B$3)*($A38-$B$3)),0))</f>
        <v>0</v>
      </c>
      <c r="C38" s="89">
        <v>125267</v>
      </c>
      <c r="D38" s="89">
        <v>143933</v>
      </c>
      <c r="E38" s="89">
        <v>159800</v>
      </c>
      <c r="F38" s="89">
        <v>183973</v>
      </c>
      <c r="G38" s="61"/>
      <c r="H38" s="365">
        <f>A38</f>
        <v>11</v>
      </c>
      <c r="I38" s="366">
        <f t="shared" ref="I38:I47" si="17">IF($C$5-$C$3-$A38&gt;0,$C$5-$C$3-$A38,0)</f>
        <v>0</v>
      </c>
      <c r="J38" s="367" t="str">
        <f t="shared" ref="J38:J47" si="18">CONCATENATE(IF((I38)&lt;0,0,(I38))," payments of")</f>
        <v>0 payments of</v>
      </c>
      <c r="K38" s="368">
        <f t="shared" ref="K38:K47" si="19">IF(H38&lt;GA_Maximum_Age,(IF(I38&gt;0,PMT($B$14,I38,-B38,$B$9),0)),0)</f>
        <v>0</v>
      </c>
      <c r="L38" s="368">
        <f t="shared" ref="L38:L48" si="20">(C38-3000/(1+$C$14)^10)/((1-1/(1+$C$14)^10)/$C$14)</f>
        <v>18497.608326857986</v>
      </c>
      <c r="M38" s="368">
        <f t="shared" ref="M38:M48" si="21">(D38-3000/(1+$D$14)^10)/((1-1/(1+$D$14)^10)/$D$14)</f>
        <v>21284.727646700063</v>
      </c>
      <c r="N38" s="368">
        <f t="shared" ref="N38:N48" si="22">(E38-3000/(1+$E$14)^10)/((1-1/(1+$E$14)^10)/$E$14)</f>
        <v>23653.913452332454</v>
      </c>
      <c r="O38" s="369">
        <f t="shared" ref="O38:O48" si="23">(F38-3000/(1+$F$14)^10)/((1-1/(1+$F$14)^10)/$F$14)</f>
        <v>27263.312108634957</v>
      </c>
    </row>
    <row r="39" spans="1:15" ht="15.6" customHeight="1" x14ac:dyDescent="0.25">
      <c r="A39" s="88">
        <f t="shared" ref="A39:A47" si="24">A38+1</f>
        <v>12</v>
      </c>
      <c r="B39" s="141">
        <f t="shared" si="16"/>
        <v>0</v>
      </c>
      <c r="C39" s="89">
        <v>116533</v>
      </c>
      <c r="D39" s="89">
        <v>133867</v>
      </c>
      <c r="E39" s="89">
        <v>148600</v>
      </c>
      <c r="F39" s="89">
        <v>171547</v>
      </c>
      <c r="G39" s="61"/>
      <c r="H39" s="365">
        <f t="shared" ref="H39:H47" si="25">H38+1</f>
        <v>12</v>
      </c>
      <c r="I39" s="366">
        <f t="shared" si="17"/>
        <v>0</v>
      </c>
      <c r="J39" s="367" t="str">
        <f t="shared" si="18"/>
        <v>0 payments of</v>
      </c>
      <c r="K39" s="368">
        <f t="shared" si="19"/>
        <v>0</v>
      </c>
      <c r="L39" s="368">
        <f t="shared" si="20"/>
        <v>17193.488529391965</v>
      </c>
      <c r="M39" s="368">
        <f t="shared" si="21"/>
        <v>19781.719874626218</v>
      </c>
      <c r="N39" s="368">
        <f t="shared" si="22"/>
        <v>21981.582134308705</v>
      </c>
      <c r="O39" s="369">
        <f t="shared" si="23"/>
        <v>25407.92023740611</v>
      </c>
    </row>
    <row r="40" spans="1:15" ht="15.6" customHeight="1" x14ac:dyDescent="0.25">
      <c r="A40" s="88">
        <f t="shared" si="24"/>
        <v>13</v>
      </c>
      <c r="B40" s="141">
        <f t="shared" si="16"/>
        <v>0</v>
      </c>
      <c r="C40" s="89">
        <v>107800</v>
      </c>
      <c r="D40" s="89">
        <v>123800</v>
      </c>
      <c r="E40" s="89">
        <v>137400</v>
      </c>
      <c r="F40" s="89">
        <v>159120</v>
      </c>
      <c r="G40" s="61"/>
      <c r="H40" s="365">
        <f t="shared" si="25"/>
        <v>13</v>
      </c>
      <c r="I40" s="366">
        <f t="shared" si="17"/>
        <v>0</v>
      </c>
      <c r="J40" s="367" t="str">
        <f t="shared" si="18"/>
        <v>0 payments of</v>
      </c>
      <c r="K40" s="368">
        <f t="shared" si="19"/>
        <v>0</v>
      </c>
      <c r="L40" s="368">
        <f t="shared" si="20"/>
        <v>15889.5180472222</v>
      </c>
      <c r="M40" s="368">
        <f t="shared" si="21"/>
        <v>18278.562787256124</v>
      </c>
      <c r="N40" s="368">
        <f t="shared" si="22"/>
        <v>20309.250816284959</v>
      </c>
      <c r="O40" s="369">
        <f t="shared" si="23"/>
        <v>23552.379050881013</v>
      </c>
    </row>
    <row r="41" spans="1:15" ht="15.6" customHeight="1" x14ac:dyDescent="0.25">
      <c r="A41" s="88">
        <f t="shared" si="24"/>
        <v>14</v>
      </c>
      <c r="B41" s="141">
        <f t="shared" si="16"/>
        <v>0</v>
      </c>
      <c r="C41" s="89">
        <v>99067</v>
      </c>
      <c r="D41" s="89">
        <v>113733</v>
      </c>
      <c r="E41" s="89">
        <v>126200</v>
      </c>
      <c r="F41" s="89">
        <v>146693</v>
      </c>
      <c r="G41" s="61"/>
      <c r="H41" s="365">
        <f t="shared" si="25"/>
        <v>14</v>
      </c>
      <c r="I41" s="366">
        <f t="shared" si="17"/>
        <v>0</v>
      </c>
      <c r="J41" s="367" t="str">
        <f t="shared" si="18"/>
        <v>0 payments of</v>
      </c>
      <c r="K41" s="368">
        <f t="shared" si="19"/>
        <v>0</v>
      </c>
      <c r="L41" s="368">
        <f t="shared" si="20"/>
        <v>14585.547565052435</v>
      </c>
      <c r="M41" s="368">
        <f t="shared" si="21"/>
        <v>16775.405699886029</v>
      </c>
      <c r="N41" s="368">
        <f t="shared" si="22"/>
        <v>18636.919498261213</v>
      </c>
      <c r="O41" s="369">
        <f t="shared" si="23"/>
        <v>21696.837864355912</v>
      </c>
    </row>
    <row r="42" spans="1:15" x14ac:dyDescent="0.25">
      <c r="A42" s="88">
        <f t="shared" si="24"/>
        <v>15</v>
      </c>
      <c r="B42" s="141">
        <f t="shared" si="16"/>
        <v>0</v>
      </c>
      <c r="C42" s="89">
        <v>90333</v>
      </c>
      <c r="D42" s="89">
        <v>103667</v>
      </c>
      <c r="E42" s="89">
        <v>115000</v>
      </c>
      <c r="F42" s="89">
        <v>134267</v>
      </c>
      <c r="G42" s="61"/>
      <c r="H42" s="365">
        <f t="shared" si="25"/>
        <v>15</v>
      </c>
      <c r="I42" s="366">
        <f t="shared" si="17"/>
        <v>0</v>
      </c>
      <c r="J42" s="367" t="str">
        <f t="shared" si="18"/>
        <v>0 payments of</v>
      </c>
      <c r="K42" s="368">
        <f t="shared" si="19"/>
        <v>0</v>
      </c>
      <c r="L42" s="368">
        <f t="shared" si="20"/>
        <v>13281.427767586416</v>
      </c>
      <c r="M42" s="368">
        <f t="shared" si="21"/>
        <v>15272.397927812188</v>
      </c>
      <c r="N42" s="368">
        <f t="shared" si="22"/>
        <v>16964.588180237468</v>
      </c>
      <c r="O42" s="369">
        <f t="shared" si="23"/>
        <v>19841.445993127069</v>
      </c>
    </row>
    <row r="43" spans="1:15" x14ac:dyDescent="0.25">
      <c r="A43" s="88">
        <f t="shared" si="24"/>
        <v>16</v>
      </c>
      <c r="B43" s="141">
        <f t="shared" si="16"/>
        <v>0</v>
      </c>
      <c r="C43" s="89">
        <v>81600</v>
      </c>
      <c r="D43" s="89">
        <v>93600</v>
      </c>
      <c r="E43" s="89">
        <v>103800</v>
      </c>
      <c r="F43" s="89">
        <v>121840</v>
      </c>
      <c r="G43" s="61"/>
      <c r="H43" s="365">
        <f t="shared" si="25"/>
        <v>16</v>
      </c>
      <c r="I43" s="366">
        <f t="shared" si="17"/>
        <v>0</v>
      </c>
      <c r="J43" s="367" t="str">
        <f t="shared" si="18"/>
        <v>0 payments of</v>
      </c>
      <c r="K43" s="368">
        <f t="shared" si="19"/>
        <v>0</v>
      </c>
      <c r="L43" s="368">
        <f t="shared" si="20"/>
        <v>11977.457285416651</v>
      </c>
      <c r="M43" s="368">
        <f t="shared" si="21"/>
        <v>13769.240840442093</v>
      </c>
      <c r="N43" s="368">
        <f t="shared" si="22"/>
        <v>15292.256862213721</v>
      </c>
      <c r="O43" s="369">
        <f t="shared" si="23"/>
        <v>17985.904806601968</v>
      </c>
    </row>
    <row r="44" spans="1:15" x14ac:dyDescent="0.25">
      <c r="A44" s="88">
        <f t="shared" si="24"/>
        <v>17</v>
      </c>
      <c r="B44" s="141">
        <f t="shared" si="16"/>
        <v>0</v>
      </c>
      <c r="C44" s="89">
        <v>72867</v>
      </c>
      <c r="D44" s="89">
        <v>83533</v>
      </c>
      <c r="E44" s="89">
        <v>92600</v>
      </c>
      <c r="F44" s="89">
        <v>109413</v>
      </c>
      <c r="G44" s="61"/>
      <c r="H44" s="365">
        <f t="shared" si="25"/>
        <v>17</v>
      </c>
      <c r="I44" s="366">
        <f t="shared" si="17"/>
        <v>0</v>
      </c>
      <c r="J44" s="367" t="str">
        <f t="shared" si="18"/>
        <v>0 payments of</v>
      </c>
      <c r="K44" s="368">
        <f t="shared" si="19"/>
        <v>0</v>
      </c>
      <c r="L44" s="368">
        <f t="shared" si="20"/>
        <v>10673.486803246884</v>
      </c>
      <c r="M44" s="368">
        <f t="shared" si="21"/>
        <v>12266.083753072</v>
      </c>
      <c r="N44" s="368">
        <f t="shared" si="22"/>
        <v>13619.925544189973</v>
      </c>
      <c r="O44" s="369">
        <f t="shared" si="23"/>
        <v>16130.363620076871</v>
      </c>
    </row>
    <row r="45" spans="1:15" x14ac:dyDescent="0.25">
      <c r="A45" s="88">
        <f t="shared" si="24"/>
        <v>18</v>
      </c>
      <c r="B45" s="141">
        <f t="shared" si="16"/>
        <v>0</v>
      </c>
      <c r="C45" s="89">
        <v>64133</v>
      </c>
      <c r="D45" s="89">
        <v>73467</v>
      </c>
      <c r="E45" s="89">
        <v>81400</v>
      </c>
      <c r="F45" s="89">
        <v>96987</v>
      </c>
      <c r="G45" s="61"/>
      <c r="H45" s="365">
        <f t="shared" si="25"/>
        <v>18</v>
      </c>
      <c r="I45" s="366">
        <f t="shared" si="17"/>
        <v>0</v>
      </c>
      <c r="J45" s="367" t="str">
        <f t="shared" si="18"/>
        <v>0 payments of</v>
      </c>
      <c r="K45" s="368">
        <f t="shared" si="19"/>
        <v>0</v>
      </c>
      <c r="L45" s="368">
        <f t="shared" si="20"/>
        <v>9369.3670057808649</v>
      </c>
      <c r="M45" s="368">
        <f t="shared" si="21"/>
        <v>10763.075980998157</v>
      </c>
      <c r="N45" s="368">
        <f t="shared" si="22"/>
        <v>11947.594226166228</v>
      </c>
      <c r="O45" s="369">
        <f t="shared" si="23"/>
        <v>14274.971748848026</v>
      </c>
    </row>
    <row r="46" spans="1:15" x14ac:dyDescent="0.25">
      <c r="A46" s="88">
        <f t="shared" si="24"/>
        <v>19</v>
      </c>
      <c r="B46" s="141">
        <f t="shared" si="16"/>
        <v>0</v>
      </c>
      <c r="C46" s="89">
        <v>55400</v>
      </c>
      <c r="D46" s="89">
        <v>63400</v>
      </c>
      <c r="E46" s="89">
        <v>70200</v>
      </c>
      <c r="F46" s="89">
        <v>84560</v>
      </c>
      <c r="G46" s="61"/>
      <c r="H46" s="365">
        <f t="shared" si="25"/>
        <v>19</v>
      </c>
      <c r="I46" s="366">
        <f t="shared" si="17"/>
        <v>0</v>
      </c>
      <c r="J46" s="367" t="str">
        <f t="shared" si="18"/>
        <v>0 payments of</v>
      </c>
      <c r="K46" s="368">
        <f t="shared" si="19"/>
        <v>0</v>
      </c>
      <c r="L46" s="368">
        <f t="shared" si="20"/>
        <v>8065.3965236110998</v>
      </c>
      <c r="M46" s="368">
        <f t="shared" si="21"/>
        <v>9259.9188936280607</v>
      </c>
      <c r="N46" s="368">
        <f t="shared" si="22"/>
        <v>10275.26290814248</v>
      </c>
      <c r="O46" s="369">
        <f t="shared" si="23"/>
        <v>12419.430562322927</v>
      </c>
    </row>
    <row r="47" spans="1:15" x14ac:dyDescent="0.25">
      <c r="A47" s="95">
        <f t="shared" si="24"/>
        <v>20</v>
      </c>
      <c r="B47" s="142">
        <f t="shared" si="16"/>
        <v>0</v>
      </c>
      <c r="C47" s="143">
        <v>46667</v>
      </c>
      <c r="D47" s="143">
        <v>53333</v>
      </c>
      <c r="E47" s="143">
        <v>59000</v>
      </c>
      <c r="F47" s="143">
        <v>72133</v>
      </c>
      <c r="G47" s="61"/>
      <c r="H47" s="370">
        <f t="shared" si="25"/>
        <v>20</v>
      </c>
      <c r="I47" s="386">
        <f t="shared" si="17"/>
        <v>0</v>
      </c>
      <c r="J47" s="371" t="str">
        <f t="shared" si="18"/>
        <v>0 payments of</v>
      </c>
      <c r="K47" s="372">
        <f t="shared" si="19"/>
        <v>0</v>
      </c>
      <c r="L47" s="372">
        <f t="shared" si="20"/>
        <v>6761.4260414413338</v>
      </c>
      <c r="M47" s="372">
        <f t="shared" si="21"/>
        <v>7756.7618062579668</v>
      </c>
      <c r="N47" s="372">
        <f t="shared" si="22"/>
        <v>8602.9315901187329</v>
      </c>
      <c r="O47" s="373">
        <f t="shared" si="23"/>
        <v>10563.889375797829</v>
      </c>
    </row>
    <row r="48" spans="1:15" x14ac:dyDescent="0.25">
      <c r="A48" s="56">
        <v>1</v>
      </c>
      <c r="B48" s="56">
        <v>2</v>
      </c>
      <c r="C48" s="56">
        <v>3</v>
      </c>
      <c r="D48" s="56">
        <v>4</v>
      </c>
      <c r="E48" s="56">
        <v>5</v>
      </c>
      <c r="F48" s="56">
        <v>6</v>
      </c>
      <c r="G48" s="61"/>
      <c r="L48" s="56">
        <f t="shared" si="20"/>
        <v>-206.22294286760436</v>
      </c>
      <c r="M48" s="56">
        <f t="shared" si="21"/>
        <v>-206.07362757135223</v>
      </c>
      <c r="N48" s="56">
        <f t="shared" si="22"/>
        <v>-205.92431227510011</v>
      </c>
      <c r="O48" s="56">
        <f t="shared" si="23"/>
        <v>-205.77499697884801</v>
      </c>
    </row>
    <row r="51" spans="4:9" ht="15.6" customHeight="1" x14ac:dyDescent="0.25">
      <c r="D51" s="147"/>
      <c r="E51" s="147"/>
      <c r="F51" s="61"/>
      <c r="G51" s="148"/>
      <c r="H51" s="148"/>
      <c r="I51" s="148"/>
    </row>
    <row r="52" spans="4:9" ht="15.6" customHeight="1" x14ac:dyDescent="0.25">
      <c r="D52" s="147"/>
      <c r="E52" s="147"/>
      <c r="F52" s="61"/>
      <c r="G52" s="148"/>
      <c r="H52" s="148"/>
      <c r="I52" s="148"/>
    </row>
    <row r="53" spans="4:9" ht="15.6" customHeight="1" x14ac:dyDescent="0.25">
      <c r="D53" s="147"/>
      <c r="E53" s="147"/>
      <c r="F53" s="61"/>
      <c r="G53" s="148"/>
      <c r="H53" s="148"/>
      <c r="I53" s="148"/>
    </row>
    <row r="54" spans="4:9" ht="15.6" customHeight="1" x14ac:dyDescent="0.25">
      <c r="D54" s="147"/>
      <c r="E54" s="147"/>
      <c r="F54" s="61"/>
      <c r="G54" s="148"/>
      <c r="H54" s="148"/>
      <c r="I54" s="148"/>
    </row>
    <row r="55" spans="4:9" ht="15.6" customHeight="1" x14ac:dyDescent="0.25">
      <c r="D55" s="147"/>
      <c r="E55" s="147"/>
      <c r="F55" s="61"/>
      <c r="G55" s="148"/>
      <c r="H55" s="148"/>
      <c r="I55" s="148"/>
    </row>
    <row r="56" spans="4:9" ht="15.6" customHeight="1" x14ac:dyDescent="0.25">
      <c r="D56" s="147"/>
      <c r="E56" s="147"/>
      <c r="F56" s="61"/>
      <c r="G56" s="148"/>
      <c r="H56" s="148"/>
      <c r="I56" s="148"/>
    </row>
    <row r="57" spans="4:9" ht="15.6" customHeight="1" x14ac:dyDescent="0.25">
      <c r="D57" s="147"/>
      <c r="E57" s="147"/>
      <c r="F57" s="61"/>
      <c r="G57" s="148"/>
      <c r="H57" s="148"/>
      <c r="I57" s="148"/>
    </row>
    <row r="58" spans="4:9" ht="15.6" customHeight="1" x14ac:dyDescent="0.25">
      <c r="D58" s="147"/>
      <c r="E58" s="147"/>
      <c r="F58" s="61"/>
      <c r="G58" s="148"/>
      <c r="H58" s="148"/>
      <c r="I58" s="148"/>
    </row>
  </sheetData>
  <sheetProtection algorithmName="SHA-512" hashValue="HuxJtyBu5H865x7wS7ScbEdutEDS3wfpQtPEas9dvF60RL5XP79UwrtdzaoKfFVgY++xCbUUp5SyVfEK0BUKJg==" saltValue="iYX/dSgrNo3H4zKaT0ROyg==" spinCount="100000" sheet="1" selectLockedCells="1"/>
  <mergeCells count="1">
    <mergeCell ref="K16:N16"/>
  </mergeCells>
  <pageMargins left="0.7" right="0.7" top="0.75" bottom="0.75" header="0.3" footer="0.3"/>
  <pageSetup paperSize="9" orientation="portrait" r:id="rId1"/>
  <customProperties>
    <customPr name="SSC_SHEET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O47"/>
  <sheetViews>
    <sheetView workbookViewId="0"/>
  </sheetViews>
  <sheetFormatPr defaultRowHeight="12.75" x14ac:dyDescent="0.2"/>
  <cols>
    <col min="1" max="1" width="29.42578125" customWidth="1"/>
    <col min="2" max="2" width="20.28515625" customWidth="1"/>
    <col min="3" max="3" width="15.140625" customWidth="1"/>
    <col min="4" max="6" width="16.7109375" customWidth="1"/>
    <col min="9" max="9" width="12" customWidth="1"/>
    <col min="10" max="10" width="13.85546875" customWidth="1"/>
    <col min="11" max="11" width="14.28515625" customWidth="1"/>
    <col min="12" max="12" width="11.7109375" customWidth="1"/>
    <col min="13" max="13" width="18.85546875" customWidth="1"/>
    <col min="14" max="14" width="10.28515625" customWidth="1"/>
    <col min="15" max="15" width="13.42578125" customWidth="1"/>
  </cols>
  <sheetData>
    <row r="1" spans="1:12" ht="19.5" customHeight="1" x14ac:dyDescent="0.2">
      <c r="A1" s="153" t="s">
        <v>176</v>
      </c>
    </row>
    <row r="2" spans="1:12" ht="45" x14ac:dyDescent="0.25">
      <c r="A2" s="149" t="s">
        <v>171</v>
      </c>
      <c r="B2" s="149" t="s">
        <v>172</v>
      </c>
      <c r="C2" s="149" t="s">
        <v>178</v>
      </c>
      <c r="D2" s="149"/>
      <c r="E2" s="149"/>
      <c r="F2" s="57"/>
      <c r="G2" s="57"/>
      <c r="H2" s="57"/>
      <c r="I2" s="56"/>
      <c r="J2" s="56"/>
      <c r="K2" s="56"/>
      <c r="L2" s="56"/>
    </row>
    <row r="3" spans="1:12" ht="15.75" x14ac:dyDescent="0.25">
      <c r="A3" s="150">
        <v>2.73</v>
      </c>
      <c r="B3" s="151">
        <f>A3*8730</f>
        <v>23832.9</v>
      </c>
      <c r="C3" s="151">
        <f t="shared" ref="C3:C19" si="0">A3*18185</f>
        <v>49645.05</v>
      </c>
      <c r="D3" s="151"/>
      <c r="E3" s="151"/>
      <c r="F3" s="57"/>
      <c r="G3" s="57"/>
      <c r="H3" s="61"/>
      <c r="I3" s="62"/>
      <c r="J3" s="56"/>
      <c r="K3" s="56"/>
      <c r="L3" s="56"/>
    </row>
    <row r="4" spans="1:12" ht="15.75" x14ac:dyDescent="0.25">
      <c r="A4" s="150">
        <v>2.76</v>
      </c>
      <c r="B4" s="151">
        <f t="shared" ref="B4:B18" si="1">A4*8730</f>
        <v>24094.799999999999</v>
      </c>
      <c r="C4" s="151">
        <f t="shared" si="0"/>
        <v>50190.6</v>
      </c>
      <c r="D4" s="151"/>
      <c r="E4" s="151"/>
      <c r="F4" s="65"/>
      <c r="G4" s="65"/>
      <c r="H4" s="61"/>
      <c r="I4" s="62"/>
      <c r="J4" s="56"/>
      <c r="K4" s="56"/>
      <c r="L4" s="56"/>
    </row>
    <row r="5" spans="1:12" ht="15.75" x14ac:dyDescent="0.25">
      <c r="A5" s="150">
        <v>2.79</v>
      </c>
      <c r="B5" s="151">
        <f t="shared" si="1"/>
        <v>24356.7</v>
      </c>
      <c r="C5" s="151">
        <f t="shared" si="0"/>
        <v>50736.15</v>
      </c>
      <c r="D5" s="151"/>
      <c r="E5" s="151"/>
      <c r="F5" s="57"/>
      <c r="G5" s="57"/>
      <c r="H5" s="61"/>
      <c r="I5" s="62"/>
      <c r="J5" s="56"/>
      <c r="K5" s="56"/>
      <c r="L5" s="56"/>
    </row>
    <row r="6" spans="1:12" ht="15.75" x14ac:dyDescent="0.25">
      <c r="A6" s="150">
        <v>2.8</v>
      </c>
      <c r="B6" s="151">
        <f t="shared" si="1"/>
        <v>24444</v>
      </c>
      <c r="C6" s="151">
        <f t="shared" si="0"/>
        <v>50918</v>
      </c>
      <c r="D6" s="151"/>
      <c r="E6" s="151"/>
      <c r="F6" s="57"/>
      <c r="G6" s="57"/>
      <c r="H6" s="57"/>
      <c r="I6" s="57"/>
      <c r="J6" s="56"/>
      <c r="K6" s="56"/>
      <c r="L6" s="56"/>
    </row>
    <row r="7" spans="1:12" ht="16.5" customHeight="1" x14ac:dyDescent="0.25">
      <c r="A7" s="150">
        <v>2.84</v>
      </c>
      <c r="B7" s="151">
        <f t="shared" si="1"/>
        <v>24793.199999999997</v>
      </c>
      <c r="C7" s="151">
        <f t="shared" si="0"/>
        <v>51645.399999999994</v>
      </c>
      <c r="D7" s="151"/>
      <c r="E7" s="151"/>
      <c r="F7" s="57"/>
      <c r="G7" s="57"/>
      <c r="H7" s="57"/>
      <c r="I7" s="57"/>
      <c r="J7" s="56"/>
      <c r="K7" s="56"/>
      <c r="L7" s="56"/>
    </row>
    <row r="8" spans="1:12" ht="15.75" x14ac:dyDescent="0.25">
      <c r="A8" s="150">
        <v>2.86</v>
      </c>
      <c r="B8" s="151">
        <f t="shared" si="1"/>
        <v>24967.8</v>
      </c>
      <c r="C8" s="151">
        <f t="shared" si="0"/>
        <v>52009.1</v>
      </c>
      <c r="D8" s="151"/>
      <c r="E8" s="151"/>
      <c r="F8" s="57"/>
      <c r="G8" s="57"/>
      <c r="H8" s="57"/>
      <c r="I8" s="68"/>
      <c r="J8" s="56"/>
      <c r="K8" s="56"/>
      <c r="L8" s="56"/>
    </row>
    <row r="9" spans="1:12" ht="15.75" x14ac:dyDescent="0.25">
      <c r="A9" s="150">
        <v>2.88</v>
      </c>
      <c r="B9" s="151">
        <f t="shared" si="1"/>
        <v>25142.399999999998</v>
      </c>
      <c r="C9" s="151">
        <f t="shared" si="0"/>
        <v>52372.799999999996</v>
      </c>
      <c r="D9" s="151"/>
      <c r="E9" s="151"/>
      <c r="F9" s="57"/>
      <c r="G9" s="57"/>
      <c r="H9" s="57"/>
      <c r="I9" s="56"/>
      <c r="J9" s="56"/>
      <c r="K9" s="56"/>
      <c r="L9" s="56"/>
    </row>
    <row r="10" spans="1:12" ht="15.75" x14ac:dyDescent="0.25">
      <c r="A10" s="150">
        <v>2.9</v>
      </c>
      <c r="B10" s="151">
        <f t="shared" si="1"/>
        <v>25317</v>
      </c>
      <c r="C10" s="151">
        <f t="shared" si="0"/>
        <v>52736.5</v>
      </c>
      <c r="D10" s="151"/>
      <c r="E10" s="151"/>
      <c r="F10" s="70"/>
      <c r="G10" s="70"/>
      <c r="H10" s="70"/>
      <c r="I10" s="56"/>
      <c r="J10" s="56"/>
      <c r="K10" s="56"/>
      <c r="L10" s="56"/>
    </row>
    <row r="11" spans="1:12" ht="15.75" x14ac:dyDescent="0.25">
      <c r="A11" s="150">
        <v>2.93</v>
      </c>
      <c r="B11" s="151">
        <f t="shared" si="1"/>
        <v>25578.9</v>
      </c>
      <c r="C11" s="151">
        <f t="shared" si="0"/>
        <v>53282.05</v>
      </c>
      <c r="D11" s="151"/>
      <c r="E11" s="151"/>
      <c r="F11" s="57"/>
      <c r="G11" s="57"/>
      <c r="H11" s="57"/>
      <c r="I11" s="56"/>
      <c r="J11" s="56"/>
      <c r="K11" s="56"/>
      <c r="L11" s="56"/>
    </row>
    <row r="12" spans="1:12" ht="15.75" x14ac:dyDescent="0.25">
      <c r="A12" s="150">
        <v>2.96</v>
      </c>
      <c r="B12" s="151">
        <f t="shared" si="1"/>
        <v>25840.799999999999</v>
      </c>
      <c r="C12" s="151">
        <f t="shared" si="0"/>
        <v>53827.6</v>
      </c>
      <c r="D12" s="151"/>
      <c r="E12" s="151"/>
      <c r="F12" s="57"/>
      <c r="G12" s="57"/>
      <c r="H12" s="57"/>
      <c r="I12" s="56"/>
      <c r="J12" s="56"/>
      <c r="K12" s="56"/>
      <c r="L12" s="56"/>
    </row>
    <row r="13" spans="1:12" ht="15.75" x14ac:dyDescent="0.25">
      <c r="A13" s="150">
        <v>3</v>
      </c>
      <c r="B13" s="151">
        <f t="shared" si="1"/>
        <v>26190</v>
      </c>
      <c r="C13" s="151">
        <f t="shared" si="0"/>
        <v>54555</v>
      </c>
      <c r="D13" s="151"/>
      <c r="E13" s="151"/>
      <c r="F13" s="57"/>
      <c r="G13" s="57"/>
      <c r="H13" s="57"/>
      <c r="I13" s="56"/>
      <c r="J13" s="56"/>
      <c r="K13" s="56"/>
      <c r="L13" s="56"/>
    </row>
    <row r="14" spans="1:12" ht="15.75" x14ac:dyDescent="0.25">
      <c r="A14" s="150">
        <v>3.09</v>
      </c>
      <c r="B14" s="151">
        <f t="shared" si="1"/>
        <v>26975.699999999997</v>
      </c>
      <c r="C14" s="151">
        <f t="shared" si="0"/>
        <v>56191.649999999994</v>
      </c>
      <c r="D14" s="151"/>
      <c r="E14" s="151"/>
      <c r="F14" s="57"/>
      <c r="G14" s="57"/>
      <c r="H14" s="57"/>
      <c r="I14" s="56"/>
      <c r="J14" s="56"/>
      <c r="K14" s="56"/>
      <c r="L14" s="56"/>
    </row>
    <row r="15" spans="1:12" ht="15.75" x14ac:dyDescent="0.25">
      <c r="A15" s="150">
        <v>3.15</v>
      </c>
      <c r="B15" s="151">
        <f t="shared" si="1"/>
        <v>27499.5</v>
      </c>
      <c r="C15" s="151">
        <f t="shared" si="0"/>
        <v>57282.75</v>
      </c>
      <c r="D15" s="151"/>
      <c r="E15" s="151"/>
      <c r="F15" s="57"/>
      <c r="G15" s="57"/>
      <c r="H15" s="57"/>
      <c r="I15" s="56"/>
      <c r="J15" s="56"/>
      <c r="K15" s="56"/>
      <c r="L15" s="56"/>
    </row>
    <row r="16" spans="1:12" ht="15" x14ac:dyDescent="0.25">
      <c r="A16" s="150">
        <v>3.16</v>
      </c>
      <c r="B16" s="151">
        <f t="shared" si="1"/>
        <v>27586.800000000003</v>
      </c>
      <c r="C16" s="151">
        <f t="shared" si="0"/>
        <v>57464.600000000006</v>
      </c>
      <c r="D16" s="151"/>
      <c r="E16" s="151"/>
    </row>
    <row r="17" spans="1:8" ht="15" x14ac:dyDescent="0.25">
      <c r="A17" s="150">
        <v>3.17</v>
      </c>
      <c r="B17" s="151">
        <f t="shared" si="1"/>
        <v>27674.1</v>
      </c>
      <c r="C17" s="151">
        <f t="shared" si="0"/>
        <v>57646.45</v>
      </c>
      <c r="D17" s="151"/>
      <c r="E17" s="151"/>
    </row>
    <row r="18" spans="1:8" ht="15" x14ac:dyDescent="0.25">
      <c r="A18" s="150">
        <v>3.19</v>
      </c>
      <c r="B18" s="151">
        <f t="shared" si="1"/>
        <v>27848.7</v>
      </c>
      <c r="C18" s="151">
        <f t="shared" si="0"/>
        <v>58010.15</v>
      </c>
      <c r="D18" s="151"/>
      <c r="E18" s="151"/>
    </row>
    <row r="19" spans="1:8" ht="15" x14ac:dyDescent="0.25">
      <c r="A19" s="150">
        <v>3.21</v>
      </c>
      <c r="B19" s="151">
        <f>A19*8730</f>
        <v>28023.3</v>
      </c>
      <c r="C19" s="151">
        <f t="shared" si="0"/>
        <v>58373.85</v>
      </c>
      <c r="D19" s="151"/>
      <c r="E19" s="151"/>
    </row>
    <row r="20" spans="1:8" ht="15" x14ac:dyDescent="0.25">
      <c r="A20" s="150"/>
      <c r="B20" s="151"/>
      <c r="C20" s="151"/>
      <c r="D20" s="151"/>
      <c r="E20" s="151"/>
    </row>
    <row r="21" spans="1:8" ht="21.75" customHeight="1" x14ac:dyDescent="0.25">
      <c r="A21" s="154" t="s">
        <v>177</v>
      </c>
      <c r="B21" s="151"/>
      <c r="C21" s="151"/>
      <c r="D21" s="151"/>
      <c r="E21" s="151"/>
      <c r="F21" s="151"/>
    </row>
    <row r="22" spans="1:8" ht="15.75" x14ac:dyDescent="0.25">
      <c r="A22" s="53" t="s">
        <v>104</v>
      </c>
      <c r="B22" s="54"/>
      <c r="C22" s="54"/>
      <c r="D22" s="55"/>
      <c r="E22" s="55"/>
      <c r="F22" s="56"/>
      <c r="G22" s="56"/>
    </row>
    <row r="23" spans="1:8" ht="15.75" x14ac:dyDescent="0.25">
      <c r="A23" s="58"/>
      <c r="B23" s="135" t="s">
        <v>168</v>
      </c>
      <c r="C23" s="135" t="s">
        <v>187</v>
      </c>
      <c r="D23" s="59" t="s">
        <v>219</v>
      </c>
      <c r="E23" s="59" t="s">
        <v>188</v>
      </c>
      <c r="F23" s="60" t="s">
        <v>216</v>
      </c>
      <c r="G23" s="56"/>
      <c r="H23" s="56"/>
    </row>
    <row r="24" spans="1:8" ht="15.75" x14ac:dyDescent="0.25">
      <c r="A24" s="63" t="s">
        <v>106</v>
      </c>
      <c r="B24" s="134">
        <v>11</v>
      </c>
      <c r="C24" s="64">
        <v>11</v>
      </c>
      <c r="D24" s="64">
        <v>11</v>
      </c>
      <c r="E24" s="64">
        <v>11</v>
      </c>
      <c r="F24" s="64">
        <v>11</v>
      </c>
      <c r="G24" s="65"/>
      <c r="H24" s="65"/>
    </row>
    <row r="25" spans="1:8" ht="15.75" x14ac:dyDescent="0.25">
      <c r="A25" s="63" t="s">
        <v>108</v>
      </c>
      <c r="B25" s="134">
        <v>11</v>
      </c>
      <c r="C25" s="64">
        <v>11</v>
      </c>
      <c r="D25" s="64">
        <v>11</v>
      </c>
      <c r="E25" s="64">
        <v>11</v>
      </c>
      <c r="F25" s="64">
        <v>11</v>
      </c>
      <c r="G25" s="56"/>
      <c r="H25" s="56"/>
    </row>
    <row r="26" spans="1:8" ht="15.75" x14ac:dyDescent="0.25">
      <c r="A26" s="63" t="s">
        <v>107</v>
      </c>
      <c r="B26" s="134">
        <v>15</v>
      </c>
      <c r="C26" s="64">
        <v>20</v>
      </c>
      <c r="D26" s="64">
        <v>20</v>
      </c>
      <c r="E26" s="64">
        <v>20</v>
      </c>
      <c r="F26" s="64">
        <v>20</v>
      </c>
      <c r="G26" s="56"/>
      <c r="H26" s="56"/>
    </row>
    <row r="27" spans="1:8" ht="39" x14ac:dyDescent="0.25">
      <c r="A27" s="144" t="s">
        <v>174</v>
      </c>
      <c r="B27" s="67">
        <v>40000</v>
      </c>
      <c r="C27" s="67">
        <v>80000</v>
      </c>
      <c r="D27" s="67">
        <v>200000</v>
      </c>
      <c r="E27" s="67">
        <v>200000</v>
      </c>
      <c r="F27" s="67">
        <v>300000</v>
      </c>
      <c r="G27" s="57"/>
      <c r="H27" s="57"/>
    </row>
    <row r="28" spans="1:8" ht="15.75" x14ac:dyDescent="0.25">
      <c r="A28" s="63" t="s">
        <v>113</v>
      </c>
      <c r="B28" s="67">
        <v>5000</v>
      </c>
      <c r="C28" s="67">
        <v>3000</v>
      </c>
      <c r="D28" s="67">
        <v>3000</v>
      </c>
      <c r="E28" s="67">
        <v>3000</v>
      </c>
      <c r="F28" s="67">
        <v>10000</v>
      </c>
      <c r="G28" s="57"/>
      <c r="H28" s="57"/>
    </row>
    <row r="29" spans="1:8" ht="15.75" x14ac:dyDescent="0.25">
      <c r="A29" s="63" t="s">
        <v>114</v>
      </c>
      <c r="B29" s="67">
        <f>(B27-B28)/(B26-B24)</f>
        <v>8750</v>
      </c>
      <c r="C29" s="67">
        <f>(C27-C28)/(C26-C24)</f>
        <v>8555.5555555555547</v>
      </c>
      <c r="D29" s="67">
        <f>(D27-D28)/(D26-D24)</f>
        <v>21888.888888888891</v>
      </c>
      <c r="E29" s="67">
        <f>(E27-E28)/(E26-E24)</f>
        <v>21888.888888888891</v>
      </c>
      <c r="F29" s="67">
        <f>(F27-F28)/(F26-F24)</f>
        <v>32222.222222222223</v>
      </c>
      <c r="G29" s="56"/>
      <c r="H29" s="56"/>
    </row>
    <row r="30" spans="1:8" ht="15.75" x14ac:dyDescent="0.25">
      <c r="A30" s="63" t="s">
        <v>115</v>
      </c>
      <c r="B30" s="69">
        <v>7.8700000000000006E-2</v>
      </c>
      <c r="C30" s="69">
        <v>7.8700000000000006E-2</v>
      </c>
      <c r="D30" s="69">
        <v>7.8700000000000006E-2</v>
      </c>
      <c r="E30" s="69">
        <v>7.8700000000000006E-2</v>
      </c>
      <c r="F30" s="69">
        <v>7.8700000000000006E-2</v>
      </c>
      <c r="G30" s="70"/>
      <c r="H30" s="70"/>
    </row>
    <row r="31" spans="1:8" ht="15.75" x14ac:dyDescent="0.25">
      <c r="A31" s="71" t="s">
        <v>116</v>
      </c>
      <c r="B31" s="69">
        <f>B30+1.5%</f>
        <v>9.3700000000000006E-2</v>
      </c>
      <c r="C31" s="69">
        <f>C30+1.5%</f>
        <v>9.3700000000000006E-2</v>
      </c>
      <c r="D31" s="69">
        <f>D30+1.5%</f>
        <v>9.3700000000000006E-2</v>
      </c>
      <c r="E31" s="69">
        <f>E30+1.5%</f>
        <v>9.3700000000000006E-2</v>
      </c>
      <c r="F31" s="69">
        <f>F30+1.5%</f>
        <v>9.3700000000000006E-2</v>
      </c>
      <c r="G31" s="56"/>
      <c r="H31" s="56"/>
    </row>
    <row r="32" spans="1:8" ht="15.75" x14ac:dyDescent="0.25">
      <c r="A32" s="63" t="s">
        <v>117</v>
      </c>
      <c r="B32" s="183">
        <v>0.88500000000000001</v>
      </c>
      <c r="C32" s="183">
        <v>0.88500000000000001</v>
      </c>
      <c r="D32" s="183">
        <v>0.88500000000000001</v>
      </c>
      <c r="E32" s="183">
        <v>0.88500000000000001</v>
      </c>
      <c r="F32" s="183">
        <v>0.88500000000000001</v>
      </c>
      <c r="G32" s="56"/>
      <c r="H32" s="56"/>
    </row>
    <row r="33" spans="1:15" ht="15.75" x14ac:dyDescent="0.25">
      <c r="A33" s="72" t="s">
        <v>118</v>
      </c>
      <c r="B33" s="73">
        <f>B30*B32+B31*(1-B32)</f>
        <v>8.0424999999999996E-2</v>
      </c>
      <c r="C33" s="73">
        <f>C30*C32+C31*(1-C32)</f>
        <v>8.0424999999999996E-2</v>
      </c>
      <c r="D33" s="73">
        <f>D30*D32+D31*(1-D32)</f>
        <v>8.0424999999999996E-2</v>
      </c>
      <c r="E33" s="73">
        <f>E30*E32+E31*(1-E32)</f>
        <v>8.0424999999999996E-2</v>
      </c>
      <c r="F33" s="73">
        <f>F30*F32+F31*(1-F32)</f>
        <v>8.0424999999999996E-2</v>
      </c>
      <c r="G33" s="56"/>
      <c r="H33" s="56"/>
    </row>
    <row r="34" spans="1:15" ht="15.75" x14ac:dyDescent="0.25">
      <c r="A34" s="76"/>
      <c r="B34" s="76"/>
      <c r="C34" s="76"/>
      <c r="D34" s="75"/>
      <c r="E34" s="75"/>
      <c r="F34" s="56"/>
      <c r="G34" s="56"/>
      <c r="H34" s="56"/>
    </row>
    <row r="35" spans="1:15" ht="15.75" x14ac:dyDescent="0.25">
      <c r="A35" s="77" t="s">
        <v>175</v>
      </c>
      <c r="B35" s="80"/>
      <c r="C35" s="80"/>
      <c r="D35" s="78"/>
      <c r="E35" s="78"/>
      <c r="F35" s="77"/>
      <c r="G35" s="78"/>
      <c r="H35" s="80" t="s">
        <v>173</v>
      </c>
      <c r="I35" s="81"/>
      <c r="J35" s="81"/>
      <c r="K35" s="78"/>
      <c r="L35" s="80"/>
      <c r="M35" s="80"/>
    </row>
    <row r="36" spans="1:15" ht="15.75" x14ac:dyDescent="0.25">
      <c r="A36" s="82" t="s">
        <v>169</v>
      </c>
      <c r="B36" s="152" t="str">
        <f>B23</f>
        <v>Small</v>
      </c>
      <c r="C36" s="152" t="s">
        <v>187</v>
      </c>
      <c r="D36" s="83" t="str">
        <f>D23</f>
        <v>Large</v>
      </c>
      <c r="E36" s="83" t="str">
        <f>E23</f>
        <v>X-Large</v>
      </c>
      <c r="F36" s="83" t="str">
        <f>F23</f>
        <v>Artic</v>
      </c>
      <c r="G36" s="56"/>
      <c r="H36" s="84" t="s">
        <v>170</v>
      </c>
      <c r="I36" s="85" t="s">
        <v>122</v>
      </c>
      <c r="J36" s="86"/>
      <c r="K36" s="86" t="str">
        <f>B23</f>
        <v>Small</v>
      </c>
      <c r="L36" s="85" t="s">
        <v>122</v>
      </c>
      <c r="M36" s="86"/>
      <c r="N36" s="86" t="str">
        <f>D23</f>
        <v>Large</v>
      </c>
      <c r="O36" s="87" t="str">
        <f>F23</f>
        <v>Artic</v>
      </c>
    </row>
    <row r="37" spans="1:15" ht="15.75" x14ac:dyDescent="0.25">
      <c r="A37" s="88">
        <v>11</v>
      </c>
      <c r="B37" s="98">
        <f>IF($A37&lt;=B$24,$B$27,IF($A37&lt;=B$26,($B$27-($B$27-B$28)/($B$26-$B$24)*($A37-$B$24)),0))</f>
        <v>40000</v>
      </c>
      <c r="C37" s="98">
        <f>IF($A37&lt;=C$24,$C$27,IF($A37&lt;=C$26,($C$27-($C$27-C$28)/($C$26-$C$24)*($A37-$C$24)),0))</f>
        <v>80000</v>
      </c>
      <c r="D37" s="89">
        <f t="shared" ref="D37:E46" si="2">IF($A37&lt;=D$24,$D$27,IF($A37&lt;=D$26,($D$27-($D$27-D$28)/($D$26-$D$24)*($A37-$D$24)),0))</f>
        <v>200000</v>
      </c>
      <c r="E37" s="89">
        <f t="shared" si="2"/>
        <v>200000</v>
      </c>
      <c r="F37" s="89">
        <f t="shared" ref="F37:F46" si="3">IF($A37&lt;=F$24,$F$27,IF($A37&lt;=F$26,($F$27-($F$27-F$28)/($F$26-$F$24)*($A37-$F$24)),0))</f>
        <v>300000</v>
      </c>
      <c r="G37" s="56"/>
      <c r="H37" s="90">
        <v>11</v>
      </c>
      <c r="I37" s="91">
        <v>5</v>
      </c>
      <c r="J37" s="92" t="str">
        <f t="shared" ref="J37:J46" si="4">CONCATENATE(IF((I37)&lt;0,0,(I37))," payments of")</f>
        <v>5 payments of</v>
      </c>
      <c r="K37" s="93">
        <f>PMT(B$33,I37,-B37,B$28)</f>
        <v>9177.9222435677148</v>
      </c>
      <c r="L37" s="91">
        <v>10</v>
      </c>
      <c r="M37" s="92" t="str">
        <f t="shared" ref="M37:M46" si="5">CONCATENATE(IF((L37)&lt;0,0,(L37))," payments of")</f>
        <v>10 payments of</v>
      </c>
      <c r="N37" s="93">
        <f>PMT(D$33,L37,-D37,D$28)</f>
        <v>29656.388361667687</v>
      </c>
      <c r="O37" s="94">
        <f>PMT(F$33,L37,-F37,F$28)</f>
        <v>44105.685913114874</v>
      </c>
    </row>
    <row r="38" spans="1:15" ht="15.75" x14ac:dyDescent="0.25">
      <c r="A38" s="88">
        <f t="shared" ref="A38:A46" si="6">A37+1</f>
        <v>12</v>
      </c>
      <c r="B38" s="98">
        <f t="shared" ref="B38:B46" si="7">IF($A38&lt;=B$24,$B$27,IF($A38&lt;=B$26,($B$27-($B$27-B$28)/($B$26-$B$24)*($A38-$B$24)),0))</f>
        <v>31250</v>
      </c>
      <c r="C38" s="98">
        <f t="shared" ref="C38:C45" si="8">IF($A38&lt;=C$24,$C$27,IF($A38&lt;=C$26,($C$27-($C$27-C$28)/($C$26-$C$24)*($A38-$C$24)),0))</f>
        <v>71444.444444444438</v>
      </c>
      <c r="D38" s="89">
        <f t="shared" si="2"/>
        <v>178111.11111111112</v>
      </c>
      <c r="E38" s="89">
        <f t="shared" si="2"/>
        <v>178111.11111111112</v>
      </c>
      <c r="F38" s="89">
        <f t="shared" si="3"/>
        <v>267777.77777777775</v>
      </c>
      <c r="G38" s="56"/>
      <c r="H38" s="90">
        <f t="shared" ref="H38:H46" si="9">H37+1</f>
        <v>12</v>
      </c>
      <c r="I38" s="91">
        <v>4</v>
      </c>
      <c r="J38" s="92" t="str">
        <f t="shared" si="4"/>
        <v>4 payments of</v>
      </c>
      <c r="K38" s="93">
        <f>PMT(B$33,L43,-B38,B$28)</f>
        <v>8335.0448942148123</v>
      </c>
      <c r="L38" s="91">
        <v>9</v>
      </c>
      <c r="M38" s="92" t="str">
        <f t="shared" si="5"/>
        <v>9 payments of</v>
      </c>
      <c r="N38" s="93">
        <f t="shared" ref="N38:N46" si="10">PMT(D$33,L38,-D38,D$28)</f>
        <v>28322.571250429111</v>
      </c>
      <c r="O38" s="94">
        <f t="shared" ref="O38:O46" si="11">PMT(F$33,L38,-F38,F$28)</f>
        <v>42142.198795047923</v>
      </c>
    </row>
    <row r="39" spans="1:15" ht="15.75" x14ac:dyDescent="0.25">
      <c r="A39" s="88">
        <f t="shared" si="6"/>
        <v>13</v>
      </c>
      <c r="B39" s="98">
        <f t="shared" si="7"/>
        <v>22500</v>
      </c>
      <c r="C39" s="98">
        <f t="shared" si="8"/>
        <v>62888.888888888891</v>
      </c>
      <c r="D39" s="89">
        <f t="shared" si="2"/>
        <v>156222.22222222222</v>
      </c>
      <c r="E39" s="89">
        <f t="shared" si="2"/>
        <v>156222.22222222222</v>
      </c>
      <c r="F39" s="89">
        <f t="shared" si="3"/>
        <v>235555.55555555556</v>
      </c>
      <c r="G39" s="56"/>
      <c r="H39" s="90">
        <f t="shared" si="9"/>
        <v>13</v>
      </c>
      <c r="I39" s="91">
        <v>3</v>
      </c>
      <c r="J39" s="92" t="str">
        <f t="shared" si="4"/>
        <v>3 payments of</v>
      </c>
      <c r="K39" s="93">
        <f>PMT(B$33,L44,-B39,B$28)</f>
        <v>7197.9195919029016</v>
      </c>
      <c r="L39" s="91">
        <v>8</v>
      </c>
      <c r="M39" s="92" t="str">
        <f t="shared" si="5"/>
        <v>8 payments of</v>
      </c>
      <c r="N39" s="93">
        <f t="shared" si="10"/>
        <v>26947.222069294628</v>
      </c>
      <c r="O39" s="94">
        <f t="shared" si="11"/>
        <v>40117.573096931184</v>
      </c>
    </row>
    <row r="40" spans="1:15" ht="15.75" x14ac:dyDescent="0.25">
      <c r="A40" s="88">
        <f t="shared" si="6"/>
        <v>14</v>
      </c>
      <c r="B40" s="98">
        <f t="shared" si="7"/>
        <v>13750</v>
      </c>
      <c r="C40" s="98">
        <f t="shared" si="8"/>
        <v>54333.333333333336</v>
      </c>
      <c r="D40" s="89">
        <f t="shared" si="2"/>
        <v>134333.33333333331</v>
      </c>
      <c r="E40" s="89">
        <f t="shared" si="2"/>
        <v>134333.33333333331</v>
      </c>
      <c r="F40" s="89">
        <f t="shared" si="3"/>
        <v>203333.33333333331</v>
      </c>
      <c r="G40" s="56"/>
      <c r="H40" s="90">
        <f t="shared" si="9"/>
        <v>14</v>
      </c>
      <c r="I40" s="91">
        <v>2</v>
      </c>
      <c r="J40" s="92" t="str">
        <f t="shared" si="4"/>
        <v>2 payments of</v>
      </c>
      <c r="K40" s="93">
        <f>PMT(B$33,L45,-B40,B$28)</f>
        <v>5311.7151464694707</v>
      </c>
      <c r="L40" s="91">
        <v>7</v>
      </c>
      <c r="M40" s="92" t="str">
        <f t="shared" si="5"/>
        <v>7 payments of</v>
      </c>
      <c r="N40" s="93">
        <f t="shared" si="10"/>
        <v>25503.461373143477</v>
      </c>
      <c r="O40" s="94">
        <f t="shared" si="11"/>
        <v>37992.240092444707</v>
      </c>
    </row>
    <row r="41" spans="1:15" ht="15.75" x14ac:dyDescent="0.25">
      <c r="A41" s="88">
        <f t="shared" si="6"/>
        <v>15</v>
      </c>
      <c r="B41" s="98">
        <f t="shared" si="7"/>
        <v>5000</v>
      </c>
      <c r="C41" s="98">
        <f t="shared" si="8"/>
        <v>45777.777777777781</v>
      </c>
      <c r="D41" s="89">
        <f t="shared" si="2"/>
        <v>112444.44444444444</v>
      </c>
      <c r="E41" s="89">
        <f t="shared" si="2"/>
        <v>112444.44444444444</v>
      </c>
      <c r="F41" s="89">
        <f t="shared" si="3"/>
        <v>171111.11111111112</v>
      </c>
      <c r="G41" s="56"/>
      <c r="H41" s="90">
        <f t="shared" si="9"/>
        <v>15</v>
      </c>
      <c r="I41" s="91">
        <v>1</v>
      </c>
      <c r="J41" s="92" t="str">
        <f t="shared" si="4"/>
        <v>1 payments of</v>
      </c>
      <c r="K41" s="93">
        <f>PMT(B$33,L46,-B41,B$28)</f>
        <v>402.125</v>
      </c>
      <c r="L41" s="91">
        <v>6</v>
      </c>
      <c r="M41" s="92" t="str">
        <f t="shared" si="5"/>
        <v>6 payments of</v>
      </c>
      <c r="N41" s="93">
        <f t="shared" si="10"/>
        <v>23946.324273547612</v>
      </c>
      <c r="O41" s="94">
        <f t="shared" si="11"/>
        <v>35700.007813851829</v>
      </c>
    </row>
    <row r="42" spans="1:15" ht="15.75" x14ac:dyDescent="0.25">
      <c r="A42" s="88">
        <f t="shared" si="6"/>
        <v>16</v>
      </c>
      <c r="B42" s="98">
        <f t="shared" si="7"/>
        <v>0</v>
      </c>
      <c r="C42" s="98">
        <f t="shared" si="8"/>
        <v>37222.222222222226</v>
      </c>
      <c r="D42" s="89">
        <f t="shared" si="2"/>
        <v>90555.555555555547</v>
      </c>
      <c r="E42" s="89">
        <f t="shared" si="2"/>
        <v>90555.555555555547</v>
      </c>
      <c r="F42" s="89">
        <f t="shared" si="3"/>
        <v>138888.88888888888</v>
      </c>
      <c r="G42" s="56"/>
      <c r="H42" s="90">
        <f t="shared" si="9"/>
        <v>16</v>
      </c>
      <c r="I42" s="91">
        <v>0</v>
      </c>
      <c r="J42" s="92" t="str">
        <f t="shared" si="4"/>
        <v>0 payments of</v>
      </c>
      <c r="K42" s="93">
        <v>0</v>
      </c>
      <c r="L42" s="91">
        <v>5</v>
      </c>
      <c r="M42" s="92" t="str">
        <f t="shared" si="5"/>
        <v>5 payments of</v>
      </c>
      <c r="N42" s="93">
        <f t="shared" si="10"/>
        <v>22194.697945813838</v>
      </c>
      <c r="O42" s="94">
        <f t="shared" si="11"/>
        <v>33121.471595360468</v>
      </c>
    </row>
    <row r="43" spans="1:15" ht="15.75" x14ac:dyDescent="0.25">
      <c r="A43" s="88">
        <f t="shared" si="6"/>
        <v>17</v>
      </c>
      <c r="B43" s="98">
        <f t="shared" si="7"/>
        <v>0</v>
      </c>
      <c r="C43" s="98">
        <f t="shared" si="8"/>
        <v>28666.666666666672</v>
      </c>
      <c r="D43" s="89">
        <f t="shared" si="2"/>
        <v>68666.666666666657</v>
      </c>
      <c r="E43" s="89">
        <f t="shared" si="2"/>
        <v>68666.666666666657</v>
      </c>
      <c r="F43" s="89">
        <f t="shared" si="3"/>
        <v>106666.66666666666</v>
      </c>
      <c r="G43" s="56"/>
      <c r="H43" s="90">
        <f t="shared" si="9"/>
        <v>17</v>
      </c>
      <c r="I43" s="91">
        <v>0</v>
      </c>
      <c r="J43" s="92" t="str">
        <f t="shared" si="4"/>
        <v>0 payments of</v>
      </c>
      <c r="K43" s="93">
        <v>0</v>
      </c>
      <c r="L43" s="91">
        <v>4</v>
      </c>
      <c r="M43" s="92" t="str">
        <f t="shared" si="5"/>
        <v>4 payments of</v>
      </c>
      <c r="N43" s="93">
        <f t="shared" si="10"/>
        <v>20086.16667187705</v>
      </c>
      <c r="O43" s="94">
        <f t="shared" si="11"/>
        <v>30017.542308854543</v>
      </c>
    </row>
    <row r="44" spans="1:15" ht="15.75" x14ac:dyDescent="0.25">
      <c r="A44" s="88">
        <f t="shared" si="6"/>
        <v>18</v>
      </c>
      <c r="B44" s="98">
        <f t="shared" si="7"/>
        <v>0</v>
      </c>
      <c r="C44" s="98">
        <f t="shared" si="8"/>
        <v>20111.111111111117</v>
      </c>
      <c r="D44" s="89">
        <f t="shared" si="2"/>
        <v>46777.777777777752</v>
      </c>
      <c r="E44" s="89">
        <f t="shared" si="2"/>
        <v>46777.777777777752</v>
      </c>
      <c r="F44" s="89">
        <f t="shared" si="3"/>
        <v>74444.444444444438</v>
      </c>
      <c r="G44" s="56"/>
      <c r="H44" s="90">
        <f t="shared" si="9"/>
        <v>18</v>
      </c>
      <c r="I44" s="91">
        <v>0</v>
      </c>
      <c r="J44" s="92" t="str">
        <f t="shared" si="4"/>
        <v>0 payments of</v>
      </c>
      <c r="K44" s="93">
        <v>0</v>
      </c>
      <c r="L44" s="91">
        <v>3</v>
      </c>
      <c r="M44" s="92" t="str">
        <f t="shared" si="5"/>
        <v>3 payments of</v>
      </c>
      <c r="N44" s="93">
        <f t="shared" si="10"/>
        <v>17241.548455299948</v>
      </c>
      <c r="O44" s="94">
        <f t="shared" si="11"/>
        <v>25830.033259070999</v>
      </c>
    </row>
    <row r="45" spans="1:15" ht="15.75" x14ac:dyDescent="0.25">
      <c r="A45" s="88">
        <f t="shared" si="6"/>
        <v>19</v>
      </c>
      <c r="B45" s="98">
        <f t="shared" si="7"/>
        <v>0</v>
      </c>
      <c r="C45" s="98">
        <f t="shared" si="8"/>
        <v>11555.555555555562</v>
      </c>
      <c r="D45" s="89">
        <f t="shared" si="2"/>
        <v>24888.888888888876</v>
      </c>
      <c r="E45" s="89">
        <f t="shared" si="2"/>
        <v>24888.888888888876</v>
      </c>
      <c r="F45" s="89">
        <f t="shared" si="3"/>
        <v>42222.222222222219</v>
      </c>
      <c r="G45" s="56"/>
      <c r="H45" s="90">
        <f t="shared" si="9"/>
        <v>19</v>
      </c>
      <c r="I45" s="91">
        <v>0</v>
      </c>
      <c r="J45" s="92" t="str">
        <f t="shared" si="4"/>
        <v>0 payments of</v>
      </c>
      <c r="K45" s="93">
        <v>0</v>
      </c>
      <c r="L45" s="91">
        <v>2</v>
      </c>
      <c r="M45" s="92" t="str">
        <f t="shared" si="5"/>
        <v>2 payments of</v>
      </c>
      <c r="N45" s="93">
        <f t="shared" si="10"/>
        <v>12523.043366406162</v>
      </c>
      <c r="O45" s="94">
        <f t="shared" si="11"/>
        <v>18884.01053937964</v>
      </c>
    </row>
    <row r="46" spans="1:15" ht="15.75" x14ac:dyDescent="0.25">
      <c r="A46" s="95">
        <f t="shared" si="6"/>
        <v>20</v>
      </c>
      <c r="B46" s="143">
        <f t="shared" si="7"/>
        <v>0</v>
      </c>
      <c r="C46" s="143">
        <f>IF($A46&lt;=C$24,$C$27,IF($A46&lt;=C$26,($C$27-($C$27-C$28)/($C$26-$C$24)*($A46-$C$24)),0))</f>
        <v>3000</v>
      </c>
      <c r="D46" s="143">
        <f t="shared" si="2"/>
        <v>3000</v>
      </c>
      <c r="E46" s="89">
        <f t="shared" si="2"/>
        <v>3000</v>
      </c>
      <c r="F46" s="143">
        <f t="shared" si="3"/>
        <v>10000</v>
      </c>
      <c r="G46" s="56"/>
      <c r="H46" s="96">
        <f t="shared" si="9"/>
        <v>20</v>
      </c>
      <c r="I46" s="136">
        <v>0</v>
      </c>
      <c r="J46" s="97" t="str">
        <f t="shared" si="4"/>
        <v>0 payments of</v>
      </c>
      <c r="K46" s="137">
        <v>0</v>
      </c>
      <c r="L46" s="136">
        <v>1</v>
      </c>
      <c r="M46" s="97" t="str">
        <f t="shared" si="5"/>
        <v>1 payments of</v>
      </c>
      <c r="N46" s="137">
        <f t="shared" si="10"/>
        <v>241.27499999999998</v>
      </c>
      <c r="O46" s="138">
        <f t="shared" si="11"/>
        <v>804.25</v>
      </c>
    </row>
    <row r="47" spans="1:15" ht="15.75" x14ac:dyDescent="0.25">
      <c r="F47" s="56"/>
      <c r="G47" s="56"/>
    </row>
  </sheetData>
  <sheetProtection algorithmName="SHA-512" hashValue="pImvTj7t+yXnWBwfVCDgEZHk6onwcQuvGbXlD0UUOsbybFfzgg6pEWmaW11r1Khn68fuM9blYzj4mXwdyVPd6Q==" saltValue="TgnHNfkjVl1d5jBfQ0zWEg==" spinCount="100000" sheet="1" selectLockedCells="1"/>
  <pageMargins left="0.7" right="0.7" top="0.75" bottom="0.75" header="0.3" footer="0.3"/>
  <pageSetup paperSize="9" orientation="portrait" r:id="rId1"/>
  <customProperties>
    <customPr name="SSC_SHEET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14</vt:i4>
      </vt:variant>
    </vt:vector>
  </HeadingPairs>
  <TitlesOfParts>
    <vt:vector size="20" baseType="lpstr">
      <vt:lpstr>GA Model</vt:lpstr>
      <vt:lpstr>Time and Kilometres</vt:lpstr>
      <vt:lpstr>Fleet</vt:lpstr>
      <vt:lpstr>GA Rates &amp; Allowances</vt:lpstr>
      <vt:lpstr>Capital Rates</vt:lpstr>
      <vt:lpstr>Transition Capital Rates</vt:lpstr>
      <vt:lpstr>Admin_HourlyRate</vt:lpstr>
      <vt:lpstr>Bus_Fixed_Costs</vt:lpstr>
      <vt:lpstr>Driver_PubHol</vt:lpstr>
      <vt:lpstr>Driver_Sat</vt:lpstr>
      <vt:lpstr>Driver_Sun</vt:lpstr>
      <vt:lpstr>Driver_Weekday</vt:lpstr>
      <vt:lpstr>Driver_Weekday_Out</vt:lpstr>
      <vt:lpstr>Operators_Margin</vt:lpstr>
      <vt:lpstr>PrePostInsp_Loading</vt:lpstr>
      <vt:lpstr>Fleet!Print_Area</vt:lpstr>
      <vt:lpstr>'Time and Kilometres'!Print_Area</vt:lpstr>
      <vt:lpstr>Supervisor_HourlyRate</vt:lpstr>
      <vt:lpstr>Vehicle_CostPerKM</vt:lpstr>
      <vt:lpstr>WeekendPubHol_Loading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Elliot, Craig</dc:creator>
  <cp:lastModifiedBy>Byron, Scott</cp:lastModifiedBy>
  <cp:lastPrinted>2021-04-25T23:07:34Z</cp:lastPrinted>
  <dcterms:created xsi:type="dcterms:W3CDTF">2008-01-09T02:24:23Z</dcterms:created>
  <dcterms:modified xsi:type="dcterms:W3CDTF">2021-06-29T04:16:26Z</dcterms:modified>
</cp:coreProperties>
</file>